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brackish\SHARE\AllShare\2_ERP-Ecosystem Restoration\Mississippi Sound BLB,DI,WFR\West Fowl River\"/>
    </mc:Choice>
  </mc:AlternateContent>
  <bookViews>
    <workbookView xWindow="0" yWindow="0" windowWidth="28800" windowHeight="11895" tabRatio="671" activeTab="9"/>
  </bookViews>
  <sheets>
    <sheet name="User Manual - Read First" sheetId="12" r:id="rId1"/>
    <sheet name="Assimilative capacity" sheetId="10" r:id="rId2"/>
    <sheet name="Load at Hwy 188" sheetId="1" r:id="rId3"/>
    <sheet name="BLB WWTP" sheetId="8" r:id="rId4"/>
    <sheet name="Industrial WWTP" sheetId="6" r:id="rId5"/>
    <sheet name="Septic tank systems" sheetId="2" r:id="rId6"/>
    <sheet name="Cattle" sheetId="4" r:id="rId7"/>
    <sheet name="Birds" sheetId="3" r:id="rId8"/>
    <sheet name="Graphs" sheetId="7" r:id="rId9"/>
    <sheet name="LIterature" sheetId="11" r:id="rId1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3" l="1"/>
  <c r="G4" i="3" s="1"/>
  <c r="G5" i="3" s="1"/>
  <c r="F3" i="3"/>
  <c r="F4" i="3" s="1"/>
  <c r="F5" i="3" s="1"/>
  <c r="C15" i="7" s="1"/>
  <c r="E3" i="3"/>
  <c r="E4" i="3" s="1"/>
  <c r="E5" i="3" s="1"/>
  <c r="D3" i="3"/>
  <c r="D4" i="3" s="1"/>
  <c r="D5" i="3" s="1"/>
  <c r="C3" i="3"/>
  <c r="C4" i="3" s="1"/>
  <c r="C5" i="3" s="1"/>
  <c r="K5" i="1"/>
  <c r="K4" i="1"/>
  <c r="K3" i="1"/>
  <c r="F4" i="8" l="1"/>
  <c r="F3" i="8"/>
  <c r="F2" i="8"/>
  <c r="E4" i="6" l="1"/>
  <c r="E3" i="6"/>
  <c r="E2" i="6"/>
  <c r="J4" i="2" l="1"/>
  <c r="J3" i="2"/>
  <c r="G4" i="2"/>
  <c r="H4" i="2" s="1"/>
  <c r="G3" i="2"/>
  <c r="H3" i="2" s="1"/>
  <c r="J2" i="2"/>
  <c r="G2" i="2"/>
  <c r="H2" i="2" s="1"/>
  <c r="E3" i="4"/>
  <c r="G3" i="4" s="1"/>
  <c r="I3" i="4" s="1"/>
  <c r="E2" i="4"/>
  <c r="G2" i="4" s="1"/>
  <c r="I2" i="4" s="1"/>
  <c r="G5" i="1"/>
  <c r="G4" i="1"/>
  <c r="G3" i="1"/>
  <c r="G2" i="1"/>
  <c r="I2" i="10"/>
  <c r="D2" i="10"/>
  <c r="F2" i="10" s="1"/>
  <c r="G2" i="10" s="1"/>
  <c r="J2" i="10" s="1"/>
  <c r="K2" i="10" s="1"/>
  <c r="C4" i="6"/>
  <c r="F4" i="6" s="1"/>
  <c r="C3" i="6"/>
  <c r="F3" i="6" s="1"/>
  <c r="C2" i="6"/>
  <c r="F2" i="6" s="1"/>
  <c r="D4" i="8"/>
  <c r="G4" i="8" s="1"/>
  <c r="D3" i="8"/>
  <c r="G3" i="8" s="1"/>
  <c r="C16" i="7" s="1"/>
  <c r="K25" i="7" s="1"/>
  <c r="D2" i="8"/>
  <c r="G2" i="8" s="1"/>
  <c r="K4" i="2" l="1"/>
  <c r="L4" i="2" s="1"/>
  <c r="M4" i="2" s="1"/>
  <c r="C13" i="7"/>
  <c r="K22" i="7" s="1"/>
  <c r="K2" i="2"/>
  <c r="L2" i="2" s="1"/>
  <c r="M2" i="2" s="1"/>
  <c r="K3" i="2"/>
  <c r="L3" i="2" s="1"/>
  <c r="M3" i="2" s="1"/>
  <c r="C11" i="7"/>
  <c r="J20" i="7" s="1"/>
  <c r="C17" i="7"/>
  <c r="K26" i="7" s="1"/>
  <c r="C14" i="7" l="1"/>
  <c r="K23" i="7" s="1"/>
  <c r="K24" i="7"/>
  <c r="K2" i="1"/>
  <c r="E5" i="1"/>
  <c r="H5" i="1" s="1"/>
  <c r="I5" i="1" s="1"/>
  <c r="E4" i="1"/>
  <c r="L4" i="1" s="1"/>
  <c r="M4" i="1" s="1"/>
  <c r="E3" i="1"/>
  <c r="H3" i="1" s="1"/>
  <c r="I3" i="1" s="1"/>
  <c r="E2" i="1"/>
  <c r="L2" i="1" s="1"/>
  <c r="M2" i="1" s="1"/>
  <c r="L5" i="1" l="1"/>
  <c r="M5" i="1" s="1"/>
  <c r="H2" i="1"/>
  <c r="I2" i="1" s="1"/>
  <c r="H4" i="1"/>
  <c r="I4" i="1" s="1"/>
  <c r="L3" i="1"/>
  <c r="M3" i="1" s="1"/>
  <c r="C12" i="7" l="1"/>
  <c r="K21" i="7" s="1"/>
</calcChain>
</file>

<file path=xl/sharedStrings.xml><?xml version="1.0" encoding="utf-8"?>
<sst xmlns="http://schemas.openxmlformats.org/spreadsheetml/2006/main" count="143" uniqueCount="107">
  <si>
    <t>Site</t>
  </si>
  <si>
    <t>WFR1</t>
  </si>
  <si>
    <t>WFR2</t>
  </si>
  <si>
    <t>WFR3</t>
  </si>
  <si>
    <t>WFR4</t>
  </si>
  <si>
    <t>Mean flow (liters / day)</t>
  </si>
  <si>
    <t>Mean FC (mpn / 100 ml)*</t>
  </si>
  <si>
    <t>Mean FC (mpn / liter)</t>
  </si>
  <si>
    <t>Mean FC load (FC / day)</t>
  </si>
  <si>
    <t>Max FC (mpn / 100 ml)*</t>
  </si>
  <si>
    <t>Max FC (mpn / liter)</t>
  </si>
  <si>
    <t>Fowl River Bay</t>
  </si>
  <si>
    <t>Water depth (m)</t>
  </si>
  <si>
    <t>Volume (liters)</t>
  </si>
  <si>
    <t>Max FC load (FC / day)</t>
  </si>
  <si>
    <t>From Juniper Creek TMDL (ADEM 2004):</t>
  </si>
  <si>
    <t>Open water (acres)</t>
  </si>
  <si>
    <t>FC prodxn  (billion / day)</t>
  </si>
  <si>
    <t>Birds in Fowl River Bay</t>
  </si>
  <si>
    <t>Rates</t>
  </si>
  <si>
    <t>Post-calibration - billions / day (EPA)1</t>
  </si>
  <si>
    <t>equals 8.52 billion FC / day for 591 cattle</t>
  </si>
  <si>
    <t xml:space="preserve">equals 14 million FC / day / cow </t>
  </si>
  <si>
    <t>appropriate WQ standard is 200 colonies / 100 ml (geometric mean)</t>
  </si>
  <si>
    <t>Impairment threshold</t>
  </si>
  <si>
    <t>FC bacteria (billions)</t>
  </si>
  <si>
    <t>Cattle</t>
  </si>
  <si>
    <t>Septic tanks</t>
  </si>
  <si>
    <t>Fecal coliform bacteria (# / 100 ml)</t>
  </si>
  <si>
    <t>Fecal coliform bacteria (# / liter)</t>
  </si>
  <si>
    <t>Fecal coliform load (billons / day)</t>
  </si>
  <si>
    <t>Bacteria standard (counts / 100 ml)</t>
  </si>
  <si>
    <t>Bacteria standard in counts / liter</t>
  </si>
  <si>
    <t>Bacteria quantity in FR Bay to exceed 14 mpn / 100 ml</t>
  </si>
  <si>
    <r>
      <t>Open water (m</t>
    </r>
    <r>
      <rPr>
        <b/>
        <vertAlign val="superscript"/>
        <sz val="11"/>
        <color theme="1"/>
        <rFont val="Calibri"/>
        <family val="2"/>
        <scheme val="minor"/>
      </rPr>
      <t>2</t>
    </r>
    <r>
      <rPr>
        <b/>
        <sz val="11"/>
        <color theme="1"/>
        <rFont val="Calibri"/>
        <family val="2"/>
        <scheme val="minor"/>
      </rPr>
      <t>)</t>
    </r>
  </si>
  <si>
    <r>
      <t>Volume (m</t>
    </r>
    <r>
      <rPr>
        <b/>
        <vertAlign val="superscript"/>
        <sz val="11"/>
        <color theme="1"/>
        <rFont val="Calibri"/>
        <family val="2"/>
        <scheme val="minor"/>
      </rPr>
      <t>3</t>
    </r>
    <r>
      <rPr>
        <b/>
        <sz val="11"/>
        <color theme="1"/>
        <rFont val="Calibri"/>
        <family val="2"/>
        <scheme val="minor"/>
      </rPr>
      <t>)</t>
    </r>
  </si>
  <si>
    <t>Flow estimates from Cook (2017)</t>
  </si>
  <si>
    <r>
      <t>W-shed (mi</t>
    </r>
    <r>
      <rPr>
        <b/>
        <vertAlign val="superscript"/>
        <sz val="11"/>
        <color theme="1"/>
        <rFont val="Calibri"/>
        <family val="2"/>
        <scheme val="minor"/>
      </rPr>
      <t>2</t>
    </r>
    <r>
      <rPr>
        <b/>
        <sz val="11"/>
        <color theme="1"/>
        <rFont val="Calibri"/>
        <family val="2"/>
        <scheme val="minor"/>
      </rPr>
      <t>)</t>
    </r>
  </si>
  <si>
    <t>Mean flow (cfs)</t>
  </si>
  <si>
    <t>Flows (mgd)</t>
  </si>
  <si>
    <t>Flows (L/d)</t>
  </si>
  <si>
    <t>Assumed that 50% of 591 cattle access streams for drinking water, and of that amount, 25% (12.5% of total) deposit wastes near the streams/waterways</t>
  </si>
  <si>
    <t>equals 97% attenuaton of daily FC prodxn</t>
  </si>
  <si>
    <t>2 - based on assumed die-off of 16.5% over 12 hours (Easton et al. undated manuscrip)</t>
  </si>
  <si>
    <t>Number of cows</t>
  </si>
  <si>
    <t>FC prodxn / cow (billions)</t>
  </si>
  <si>
    <t>Attenuation (%)</t>
  </si>
  <si>
    <t>Attenuation before Fowl River Bay</t>
  </si>
  <si>
    <t>Load to FR Bay (billions FC / d)</t>
  </si>
  <si>
    <t>Load to Fowl River tribs</t>
  </si>
  <si>
    <t>FC load to watershed (billions)</t>
  </si>
  <si>
    <t xml:space="preserve">Number of houses </t>
  </si>
  <si>
    <t>People per house</t>
  </si>
  <si>
    <t>Effluent FC concentration (# / 100 ml)</t>
  </si>
  <si>
    <t>Failure rate (%)</t>
  </si>
  <si>
    <t>Effluent discharge rate (g/p/d)</t>
  </si>
  <si>
    <t>Effluent discharge rate (liters / house / day)</t>
  </si>
  <si>
    <t>Effluent concentration (billions / liter)</t>
  </si>
  <si>
    <t>Fecal load to surface waters (billions / day)</t>
  </si>
  <si>
    <t>Fecal load to Fowl River Bay (billions / d)</t>
  </si>
  <si>
    <t>Total effluent discharge from septic tanks  (liters / day)</t>
  </si>
  <si>
    <t>Bacteria quantity in FR Bay to exceed 14 mpn / 100 ml (billions)</t>
  </si>
  <si>
    <t>Mean FC load (billions FC / day)</t>
  </si>
  <si>
    <t>Total count of FC discharged with septic tanks  (billions)</t>
  </si>
  <si>
    <t>Target</t>
  </si>
  <si>
    <t>Sources</t>
  </si>
  <si>
    <t>Hwy 188</t>
  </si>
  <si>
    <r>
      <t>With 591 animals, modeledl hourly load was 3.55 * 10</t>
    </r>
    <r>
      <rPr>
        <vertAlign val="superscript"/>
        <sz val="11"/>
        <rFont val="Calibri"/>
        <family val="2"/>
        <scheme val="minor"/>
      </rPr>
      <t>8</t>
    </r>
    <r>
      <rPr>
        <sz val="11"/>
        <rFont val="Calibri"/>
        <family val="2"/>
        <scheme val="minor"/>
      </rPr>
      <t xml:space="preserve"> FC</t>
    </r>
  </si>
  <si>
    <t xml:space="preserve"> Input cell that can be modified</t>
  </si>
  <si>
    <t xml:space="preserve"> Formula cell - not to be modified</t>
  </si>
  <si>
    <t xml:space="preserve"> Output cell - results displayed here</t>
  </si>
  <si>
    <t>Fecal coliform bacteria data from ADEM (2006)</t>
  </si>
  <si>
    <t>FC bacteria limits based on NPDES permit AL0027979.  No flow limits in permit</t>
  </si>
  <si>
    <t>FC bacteria die-off estimates based on Easton et al. (undated manuscript)</t>
  </si>
  <si>
    <t>Fecal production rate estimates from EPA (2002) and CRWQCB (2004)</t>
  </si>
  <si>
    <t>After 12 hour travel (billion / day)2</t>
  </si>
  <si>
    <t>FC production estimate from CRWQCB (2004)</t>
  </si>
  <si>
    <t>1 - based on assumed attenuation of 65% (CRWQCB 2004)</t>
  </si>
  <si>
    <t>column in red font is active column for calculations used in the "graphs" tab</t>
  </si>
  <si>
    <t>row in red font is active row for calculations used in the "graphs" tab</t>
  </si>
  <si>
    <t>Birds</t>
  </si>
  <si>
    <t>BLB WWTP</t>
  </si>
  <si>
    <t>Industrial WWTP</t>
  </si>
  <si>
    <t>Cook, M. 2017.  Pre-Restoration Analysis of Discharge, Sediment Transport Rates, and Water Quality in West Fowl River and Tributaries, Mobile County, Alabma.  Final Report to MBNEP. 33 pp.</t>
  </si>
  <si>
    <t>ADEM. 2006. A Study of the Fowl River Watershed. 96 pp.</t>
  </si>
  <si>
    <t>Septic tank loading algorithm estimates from ADEM 2003, except for column I values, from US EPA (2001)</t>
  </si>
  <si>
    <t>ADEM. 2003.  Final TMDL for Fecal Coliform Bacteria: Dry Creek. 26 pp.</t>
  </si>
  <si>
    <t>USEPA. 2001. Protocol for Developing Pathogen TMDLs: First Edition, Jan. 2001. 134 pp.</t>
  </si>
  <si>
    <t>Easton, J., Lalor, M., Gauthier, J., and R. Pitt. Undated manuscript. In-Situ Die-Off of Indicator Bacteria and Pathogens. 4 pp.</t>
  </si>
  <si>
    <t>USEPA. 2002. Total Aluminum and Fecal Coliform Bacteria TMDLs for the Fourpole Creek, West Virginia - Final TMDL. 131 pp.</t>
  </si>
  <si>
    <t>California Regional Water Quality Control Board. 2004. Total Maximum Daily Loads for Bacteria - Malibu Creek Watershed. 94 pp.</t>
  </si>
  <si>
    <t>Attenuation rate estimates from ADEM (2003) TMDL for Dry Creek, AL:</t>
  </si>
  <si>
    <t>Literature Cited</t>
  </si>
  <si>
    <t>The loading model is for Fowl River Bay, as influenced by the West Fowl River and other sources not within the watershed of the West Fowl River.</t>
  </si>
  <si>
    <t>The assimilative capacity for Fowl River Bay is based on the areas delineated by the Alabama Department of Health as the Conditionally Restricted waters of Fowl River Bay.  Water depth estimates are based on local stakeholder input.  The water quality goal was 14 counts of FC bacteria / 100 ml.</t>
  </si>
  <si>
    <t>The fecal coliform loads at Hwy 188 are based on flow data from Cook (2017) for average conditions and the average fecal coliform bacteria abundance at station FLR 5 from ADEM (2006).</t>
  </si>
  <si>
    <t>The fecal coliform loads from Industial WWTP is based on  NPDES permit AL0027979.  No flow limits are contanied in the permit, and discharge volumes were set at 1 mgd.</t>
  </si>
  <si>
    <t>The fecal coliform loads from the City of Bayou LaBatre's WWTP is based on an estimated flow of 2 mgd and permit limit for fecal coliform bacteria of 14 / 100 ml.</t>
  </si>
  <si>
    <t xml:space="preserve">Fecal coliform loads from cattle are based on an estimated 100 cows in areas in close proximity to the West Fowl River.  Assumptions and algorithms related to production rates and attenuation are based on EPA (2002), ADEM (2003), and CRWQCB (2004). </t>
  </si>
  <si>
    <t>Fecal coliform loads from birds are based on an estimated 2,000 birds utilizing islands south of Fowl River Bay.  Assumptions and algorithms related to production rates and attenuation are based on CRWQCB (2004) and an undated manuscript from Easton et al.</t>
  </si>
  <si>
    <t>Each tab within the model (other than the tab marked "graphs") contains specific references for important model assumptions and algorithms, with citiations included in the tab marked "Literature cited."</t>
  </si>
  <si>
    <t>For each tab, cells are color coded.  Input cells contain information that can be modified by the model user.  Formula cells can be modified, if needed, but they are mostly cells in which various calculations are made - if the user needs to modify rates or assumptions, it is usally best to make such a change in the input cell.</t>
  </si>
  <si>
    <t>Output cells are marked in yellow, and the row or column that is used for creating model output as displayed in the "graphs" tab are highlighted with red text.</t>
  </si>
  <si>
    <t>Fecal Coliform Bacteria Loading Model for Fowl River Bay</t>
  </si>
  <si>
    <t>This loading model was created by David Tomasko (Environmental Science Associates) for the Mobile Bay National Estuary Program.  Any errors and/or mis-interpretations of data are his alone.  Should clarification be sought for any model input or algorithms, David can be reached at dtomasko@esassoc.com</t>
  </si>
  <si>
    <t>The fecal coliform loads from septic tanks were based on an estimated 150 houses adjacent to, or in close proximity to the West Fowl River or its main tributaries.  Assumptions related to volumes, failure rates, etc. are based on TMDLs produced by ADEM (2003) while the abundance of fecal coliform bacteria in septic tank effluent is from USEPA (2001).</t>
  </si>
  <si>
    <t>The bar chart includes a text box stating "Impairment is at 480".  This text box is for illustrative purposes only, and it reflects the output cell for the assimilative capacity tab.  If water depths or area values used in that tab are altered, the estimate of 480 billion bacteria (approximately) would also change, and the text box should be updated as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</si>
</sst>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 x14ac:knownFonts="1">
    <font>
      <sz val="11"/>
      <color theme="1"/>
      <name val="Calibri"/>
      <family val="2"/>
      <scheme val="minor"/>
    </font>
    <font>
      <sz val="11"/>
      <color rgb="FFFF0000"/>
      <name val="Calibri"/>
      <family val="2"/>
      <scheme val="minor"/>
    </font>
    <font>
      <sz val="11"/>
      <name val="Calibri"/>
      <family val="2"/>
      <scheme val="minor"/>
    </font>
    <font>
      <vertAlign val="superscript"/>
      <sz val="11"/>
      <name val="Calibri"/>
      <family val="2"/>
      <scheme val="minor"/>
    </font>
    <font>
      <b/>
      <sz val="11"/>
      <color theme="1"/>
      <name val="Calibri"/>
      <family val="2"/>
      <scheme val="minor"/>
    </font>
    <font>
      <b/>
      <vertAlign val="superscript"/>
      <sz val="11"/>
      <color theme="1"/>
      <name val="Calibri"/>
      <family val="2"/>
      <scheme val="minor"/>
    </font>
    <font>
      <b/>
      <sz val="11"/>
      <color rgb="FFFF0000"/>
      <name val="Calibri"/>
      <family val="2"/>
      <scheme val="minor"/>
    </font>
    <font>
      <b/>
      <sz val="11"/>
      <name val="Calibri"/>
      <family val="2"/>
      <scheme val="minor"/>
    </font>
    <font>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0" xfId="0" applyAlignment="1">
      <alignment wrapText="1"/>
    </xf>
    <xf numFmtId="3" fontId="0" fillId="0" borderId="0" xfId="0" applyNumberFormat="1"/>
    <xf numFmtId="0" fontId="0" fillId="0" borderId="0" xfId="0" applyAlignment="1">
      <alignment horizontal="center" wrapText="1"/>
    </xf>
    <xf numFmtId="3" fontId="0" fillId="0" borderId="0" xfId="0" applyNumberFormat="1" applyAlignment="1">
      <alignment horizontal="center" wrapText="1"/>
    </xf>
    <xf numFmtId="0" fontId="1" fillId="0" borderId="0" xfId="0" applyFont="1"/>
    <xf numFmtId="3" fontId="1" fillId="0" borderId="0" xfId="0" applyNumberFormat="1" applyFont="1"/>
    <xf numFmtId="1" fontId="0" fillId="0" borderId="0" xfId="0" applyNumberFormat="1"/>
    <xf numFmtId="1" fontId="0" fillId="0" borderId="0" xfId="0" applyNumberFormat="1" applyAlignment="1">
      <alignment horizontal="center" wrapText="1"/>
    </xf>
    <xf numFmtId="164" fontId="0" fillId="0" borderId="0" xfId="0" applyNumberFormat="1"/>
    <xf numFmtId="0" fontId="0" fillId="0" borderId="0" xfId="0" applyFill="1" applyBorder="1" applyAlignment="1">
      <alignment horizontal="left" vertical="center" wrapText="1"/>
    </xf>
    <xf numFmtId="0" fontId="2" fillId="0" borderId="0" xfId="0" applyFont="1"/>
    <xf numFmtId="165" fontId="0" fillId="0" borderId="0" xfId="0" applyNumberFormat="1" applyAlignment="1">
      <alignment horizontal="center" wrapText="1"/>
    </xf>
    <xf numFmtId="165" fontId="0" fillId="0" borderId="0" xfId="0" applyNumberFormat="1"/>
    <xf numFmtId="2" fontId="0" fillId="0" borderId="0" xfId="0" applyNumberFormat="1"/>
    <xf numFmtId="0" fontId="0" fillId="3" borderId="1" xfId="0" applyFill="1" applyBorder="1"/>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4" fillId="3" borderId="1" xfId="0" applyFont="1" applyFill="1" applyBorder="1"/>
    <xf numFmtId="0" fontId="7" fillId="3" borderId="1" xfId="0" applyFont="1" applyFill="1" applyBorder="1" applyAlignment="1">
      <alignment horizontal="center" vertical="center"/>
    </xf>
    <xf numFmtId="3"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wrapText="1"/>
    </xf>
    <xf numFmtId="3" fontId="2" fillId="0" borderId="0" xfId="0" applyNumberFormat="1" applyFont="1"/>
    <xf numFmtId="1" fontId="2" fillId="0" borderId="0" xfId="0" applyNumberFormat="1" applyFont="1"/>
    <xf numFmtId="1" fontId="4" fillId="3"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0" fontId="0" fillId="4" borderId="1" xfId="0" applyFill="1" applyBorder="1"/>
    <xf numFmtId="0" fontId="0" fillId="5" borderId="1" xfId="0" applyFill="1" applyBorder="1"/>
    <xf numFmtId="0" fontId="0" fillId="2" borderId="1" xfId="0" applyFill="1" applyBorder="1"/>
    <xf numFmtId="0" fontId="4" fillId="0" borderId="0" xfId="0" applyFont="1"/>
    <xf numFmtId="3" fontId="4" fillId="0" borderId="0" xfId="0" applyNumberFormat="1" applyFont="1"/>
    <xf numFmtId="164" fontId="4" fillId="0" borderId="0" xfId="0" applyNumberFormat="1" applyFont="1"/>
    <xf numFmtId="0" fontId="1" fillId="4" borderId="1" xfId="0" applyFont="1" applyFill="1" applyBorder="1" applyAlignment="1">
      <alignment horizontal="center" vertical="center"/>
    </xf>
    <xf numFmtId="3" fontId="2" fillId="4" borderId="1" xfId="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2" fillId="5" borderId="1" xfId="0" applyNumberFormat="1" applyFont="1" applyFill="1" applyBorder="1" applyAlignment="1">
      <alignment horizontal="center" vertical="center"/>
    </xf>
    <xf numFmtId="0" fontId="6" fillId="0" borderId="0" xfId="0" applyFont="1"/>
    <xf numFmtId="3" fontId="6" fillId="0" borderId="0" xfId="0" applyNumberFormat="1" applyFont="1"/>
    <xf numFmtId="164" fontId="1" fillId="4" borderId="1" xfId="0" applyNumberFormat="1" applyFont="1" applyFill="1" applyBorder="1" applyAlignment="1">
      <alignment horizontal="center" vertical="center"/>
    </xf>
    <xf numFmtId="0" fontId="1" fillId="0" borderId="1" xfId="0" applyFont="1" applyBorder="1"/>
    <xf numFmtId="0" fontId="0" fillId="0" borderId="1" xfId="0" applyBorder="1"/>
    <xf numFmtId="0" fontId="2" fillId="4" borderId="1" xfId="0" applyFont="1" applyFill="1" applyBorder="1" applyAlignment="1">
      <alignment horizontal="center" vertical="center"/>
    </xf>
    <xf numFmtId="2" fontId="4" fillId="0" borderId="0" xfId="0" applyNumberFormat="1" applyFont="1"/>
    <xf numFmtId="164" fontId="6" fillId="0" borderId="0" xfId="0" applyNumberFormat="1" applyFont="1"/>
    <xf numFmtId="164" fontId="4" fillId="5" borderId="1" xfId="0" applyNumberFormat="1" applyFont="1" applyFill="1" applyBorder="1"/>
    <xf numFmtId="3" fontId="1" fillId="5" borderId="1" xfId="0" applyNumberFormat="1" applyFont="1" applyFill="1" applyBorder="1"/>
    <xf numFmtId="164" fontId="4" fillId="4" borderId="1" xfId="0" applyNumberFormat="1" applyFont="1" applyFill="1" applyBorder="1"/>
    <xf numFmtId="164" fontId="4" fillId="2" borderId="1" xfId="0" applyNumberFormat="1" applyFont="1" applyFill="1" applyBorder="1"/>
    <xf numFmtId="0" fontId="0" fillId="0" borderId="1" xfId="0" applyFont="1" applyBorder="1"/>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3" fontId="0" fillId="5" borderId="1"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2" fontId="0" fillId="2" borderId="1"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3" fontId="0" fillId="5" borderId="1" xfId="0" applyNumberFormat="1" applyFont="1" applyFill="1" applyBorder="1"/>
    <xf numFmtId="2" fontId="0"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xf>
    <xf numFmtId="0" fontId="4" fillId="2" borderId="1" xfId="0" applyFont="1" applyFill="1" applyBorder="1"/>
    <xf numFmtId="1" fontId="2" fillId="2" borderId="1" xfId="0" applyNumberFormat="1" applyFont="1" applyFill="1" applyBorder="1" applyAlignment="1">
      <alignment horizontal="center" vertical="center"/>
    </xf>
    <xf numFmtId="0" fontId="4" fillId="4" borderId="1" xfId="0" applyFont="1" applyFill="1" applyBorder="1"/>
    <xf numFmtId="0" fontId="4" fillId="5" borderId="1" xfId="0" applyFont="1" applyFill="1" applyBorder="1"/>
    <xf numFmtId="0" fontId="2"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0" fillId="0" borderId="1" xfId="0" applyFont="1" applyBorder="1" applyAlignment="1">
      <alignment wrapText="1"/>
    </xf>
    <xf numFmtId="3" fontId="2" fillId="2" borderId="1" xfId="0" applyNumberFormat="1" applyFont="1" applyFill="1" applyBorder="1" applyAlignment="1">
      <alignment horizontal="center" vertical="center"/>
    </xf>
    <xf numFmtId="165" fontId="0" fillId="0" borderId="1" xfId="0" applyNumberFormat="1" applyBorder="1"/>
    <xf numFmtId="0" fontId="8"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Graphs!$C$10</c:f>
              <c:strCache>
                <c:ptCount val="1"/>
                <c:pt idx="0">
                  <c:v>FC bacteria (billions)</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85F7-4FC9-8F0A-66CC9D97F4E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FD-4A51-9595-358918B8668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CFD-4A51-9595-358918B8668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CFD-4A51-9595-358918B8668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CFD-4A51-9595-358918B86688}"/>
              </c:ext>
            </c:extLst>
          </c:dPt>
          <c:dPt>
            <c:idx val="5"/>
            <c:bubble3D val="0"/>
            <c:spPr>
              <a:solidFill>
                <a:srgbClr val="7030A0"/>
              </a:solidFill>
              <a:ln w="19050">
                <a:solidFill>
                  <a:schemeClr val="lt1"/>
                </a:solidFill>
              </a:ln>
              <a:effectLst/>
            </c:spPr>
            <c:extLst>
              <c:ext xmlns:c16="http://schemas.microsoft.com/office/drawing/2014/chart" uri="{C3380CC4-5D6E-409C-BE32-E72D297353CC}">
                <c16:uniqueId val="{0000000B-2CFD-4A51-9595-358918B8668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Graphs!$B$12:$B$17</c:f>
              <c:strCache>
                <c:ptCount val="6"/>
                <c:pt idx="0">
                  <c:v>Hwy 188</c:v>
                </c:pt>
                <c:pt idx="1">
                  <c:v>Cattle</c:v>
                </c:pt>
                <c:pt idx="2">
                  <c:v>Septic tanks</c:v>
                </c:pt>
                <c:pt idx="3">
                  <c:v>Birds</c:v>
                </c:pt>
                <c:pt idx="4">
                  <c:v>BLB WWTP</c:v>
                </c:pt>
                <c:pt idx="5">
                  <c:v>Industrial WWTP</c:v>
                </c:pt>
              </c:strCache>
            </c:strRef>
          </c:cat>
          <c:val>
            <c:numRef>
              <c:f>Graphs!$C$12:$C$17</c:f>
              <c:numCache>
                <c:formatCode>#,##0.0</c:formatCode>
                <c:ptCount val="6"/>
                <c:pt idx="0">
                  <c:v>261.09859072</c:v>
                </c:pt>
                <c:pt idx="1">
                  <c:v>201.00000000000017</c:v>
                </c:pt>
                <c:pt idx="2">
                  <c:v>133.13737500000002</c:v>
                </c:pt>
                <c:pt idx="3">
                  <c:v>116.89999999999999</c:v>
                </c:pt>
                <c:pt idx="4">
                  <c:v>1.0598000000000001</c:v>
                </c:pt>
                <c:pt idx="5">
                  <c:v>2.9901499999999999</c:v>
                </c:pt>
              </c:numCache>
            </c:numRef>
          </c:val>
          <c:extLst>
            <c:ext xmlns:c16="http://schemas.microsoft.com/office/drawing/2014/chart" uri="{C3380CC4-5D6E-409C-BE32-E72D297353CC}">
              <c16:uniqueId val="{00000000-85F7-4FC9-8F0A-66CC9D97F4E4}"/>
            </c:ext>
          </c:extLst>
        </c:ser>
        <c:dLbls>
          <c:showLegendKey val="0"/>
          <c:showVal val="0"/>
          <c:showCatName val="0"/>
          <c:showSerName val="0"/>
          <c:showPercent val="0"/>
          <c:showBubbleSize val="0"/>
          <c:showLeaderLines val="1"/>
        </c:dLbls>
        <c:firstSliceAng val="0"/>
      </c:pieChart>
      <c:spPr>
        <a:noFill/>
        <a:ln>
          <a:noFill/>
        </a:ln>
        <a:effectLst/>
      </c:spPr>
    </c:plotArea>
    <c:legend>
      <c:legendPos val="tr"/>
      <c:layout>
        <c:manualLayout>
          <c:xMode val="edge"/>
          <c:yMode val="edge"/>
          <c:x val="0.72462151152800369"/>
          <c:y val="0.25094505494505492"/>
          <c:w val="0.22403060657212456"/>
          <c:h val="0.4769120013844423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Graphs!$I$21</c:f>
              <c:strCache>
                <c:ptCount val="1"/>
                <c:pt idx="0">
                  <c:v>Hwy 188</c:v>
                </c:pt>
              </c:strCache>
            </c:strRef>
          </c:tx>
          <c:spPr>
            <a:solidFill>
              <a:schemeClr val="accent6"/>
            </a:solidFill>
          </c:spPr>
          <c:invertIfNegative val="0"/>
          <c:cat>
            <c:strRef>
              <c:f>Graphs!$K$19</c:f>
              <c:strCache>
                <c:ptCount val="1"/>
                <c:pt idx="0">
                  <c:v>Sources</c:v>
                </c:pt>
              </c:strCache>
            </c:strRef>
          </c:cat>
          <c:val>
            <c:numRef>
              <c:f>Graphs!$K$21</c:f>
              <c:numCache>
                <c:formatCode>#,##0.0</c:formatCode>
                <c:ptCount val="1"/>
                <c:pt idx="0">
                  <c:v>261.09859072</c:v>
                </c:pt>
              </c:numCache>
            </c:numRef>
          </c:val>
          <c:extLst>
            <c:ext xmlns:c16="http://schemas.microsoft.com/office/drawing/2014/chart" uri="{C3380CC4-5D6E-409C-BE32-E72D297353CC}">
              <c16:uniqueId val="{00000000-A973-4CFB-9D74-AD395BFDDBEC}"/>
            </c:ext>
          </c:extLst>
        </c:ser>
        <c:ser>
          <c:idx val="0"/>
          <c:order val="1"/>
          <c:tx>
            <c:strRef>
              <c:f>Graphs!$I$22</c:f>
              <c:strCache>
                <c:ptCount val="1"/>
                <c:pt idx="0">
                  <c:v>Cattle</c:v>
                </c:pt>
              </c:strCache>
            </c:strRef>
          </c:tx>
          <c:spPr>
            <a:solidFill>
              <a:schemeClr val="accent2"/>
            </a:solidFill>
          </c:spPr>
          <c:invertIfNegative val="0"/>
          <c:val>
            <c:numRef>
              <c:f>Graphs!$K$22</c:f>
              <c:numCache>
                <c:formatCode>#,##0.0</c:formatCode>
                <c:ptCount val="1"/>
                <c:pt idx="0">
                  <c:v>201.00000000000017</c:v>
                </c:pt>
              </c:numCache>
            </c:numRef>
          </c:val>
          <c:extLst>
            <c:ext xmlns:c16="http://schemas.microsoft.com/office/drawing/2014/chart" uri="{C3380CC4-5D6E-409C-BE32-E72D297353CC}">
              <c16:uniqueId val="{00000001-A973-4CFB-9D74-AD395BFDDBEC}"/>
            </c:ext>
          </c:extLst>
        </c:ser>
        <c:ser>
          <c:idx val="2"/>
          <c:order val="2"/>
          <c:tx>
            <c:strRef>
              <c:f>Graphs!$I$23</c:f>
              <c:strCache>
                <c:ptCount val="1"/>
                <c:pt idx="0">
                  <c:v>Septic tanks</c:v>
                </c:pt>
              </c:strCache>
            </c:strRef>
          </c:tx>
          <c:invertIfNegative val="0"/>
          <c:val>
            <c:numRef>
              <c:f>Graphs!$K$23</c:f>
              <c:numCache>
                <c:formatCode>#,##0.0</c:formatCode>
                <c:ptCount val="1"/>
                <c:pt idx="0">
                  <c:v>133.13737500000002</c:v>
                </c:pt>
              </c:numCache>
            </c:numRef>
          </c:val>
          <c:extLst>
            <c:ext xmlns:c16="http://schemas.microsoft.com/office/drawing/2014/chart" uri="{C3380CC4-5D6E-409C-BE32-E72D297353CC}">
              <c16:uniqueId val="{00000002-A973-4CFB-9D74-AD395BFDDBEC}"/>
            </c:ext>
          </c:extLst>
        </c:ser>
        <c:ser>
          <c:idx val="3"/>
          <c:order val="3"/>
          <c:tx>
            <c:strRef>
              <c:f>Graphs!$I$24</c:f>
              <c:strCache>
                <c:ptCount val="1"/>
                <c:pt idx="0">
                  <c:v>Birds</c:v>
                </c:pt>
              </c:strCache>
            </c:strRef>
          </c:tx>
          <c:invertIfNegative val="0"/>
          <c:val>
            <c:numRef>
              <c:f>Graphs!$K$24</c:f>
              <c:numCache>
                <c:formatCode>#,##0.0</c:formatCode>
                <c:ptCount val="1"/>
                <c:pt idx="0">
                  <c:v>116.89999999999999</c:v>
                </c:pt>
              </c:numCache>
            </c:numRef>
          </c:val>
          <c:extLst>
            <c:ext xmlns:c16="http://schemas.microsoft.com/office/drawing/2014/chart" uri="{C3380CC4-5D6E-409C-BE32-E72D297353CC}">
              <c16:uniqueId val="{00000003-A973-4CFB-9D74-AD395BFDDBEC}"/>
            </c:ext>
          </c:extLst>
        </c:ser>
        <c:ser>
          <c:idx val="4"/>
          <c:order val="4"/>
          <c:tx>
            <c:strRef>
              <c:f>Graphs!$I$25</c:f>
              <c:strCache>
                <c:ptCount val="1"/>
                <c:pt idx="0">
                  <c:v>BLB WWTP</c:v>
                </c:pt>
              </c:strCache>
            </c:strRef>
          </c:tx>
          <c:invertIfNegative val="0"/>
          <c:val>
            <c:numRef>
              <c:f>Graphs!$K$25</c:f>
              <c:numCache>
                <c:formatCode>#,##0.0</c:formatCode>
                <c:ptCount val="1"/>
                <c:pt idx="0">
                  <c:v>1.0598000000000001</c:v>
                </c:pt>
              </c:numCache>
            </c:numRef>
          </c:val>
          <c:extLst>
            <c:ext xmlns:c16="http://schemas.microsoft.com/office/drawing/2014/chart" uri="{C3380CC4-5D6E-409C-BE32-E72D297353CC}">
              <c16:uniqueId val="{00000004-A973-4CFB-9D74-AD395BFDDBEC}"/>
            </c:ext>
          </c:extLst>
        </c:ser>
        <c:ser>
          <c:idx val="5"/>
          <c:order val="5"/>
          <c:tx>
            <c:strRef>
              <c:f>Graphs!$I$26</c:f>
              <c:strCache>
                <c:ptCount val="1"/>
                <c:pt idx="0">
                  <c:v>Industrial WWTP</c:v>
                </c:pt>
              </c:strCache>
            </c:strRef>
          </c:tx>
          <c:spPr>
            <a:solidFill>
              <a:srgbClr val="7030A0"/>
            </a:solidFill>
          </c:spPr>
          <c:invertIfNegative val="0"/>
          <c:val>
            <c:numRef>
              <c:f>Graphs!$K$26</c:f>
              <c:numCache>
                <c:formatCode>#,##0.0</c:formatCode>
                <c:ptCount val="1"/>
                <c:pt idx="0">
                  <c:v>2.9901499999999999</c:v>
                </c:pt>
              </c:numCache>
            </c:numRef>
          </c:val>
          <c:extLst>
            <c:ext xmlns:c16="http://schemas.microsoft.com/office/drawing/2014/chart" uri="{C3380CC4-5D6E-409C-BE32-E72D297353CC}">
              <c16:uniqueId val="{00000005-A973-4CFB-9D74-AD395BFDDBEC}"/>
            </c:ext>
          </c:extLst>
        </c:ser>
        <c:dLbls>
          <c:showLegendKey val="0"/>
          <c:showVal val="0"/>
          <c:showCatName val="0"/>
          <c:showSerName val="0"/>
          <c:showPercent val="0"/>
          <c:showBubbleSize val="0"/>
        </c:dLbls>
        <c:gapWidth val="150"/>
        <c:overlap val="100"/>
        <c:axId val="140995584"/>
        <c:axId val="141013760"/>
      </c:barChart>
      <c:catAx>
        <c:axId val="140995584"/>
        <c:scaling>
          <c:orientation val="minMax"/>
        </c:scaling>
        <c:delete val="0"/>
        <c:axPos val="b"/>
        <c:numFmt formatCode="General" sourceLinked="0"/>
        <c:majorTickMark val="out"/>
        <c:minorTickMark val="none"/>
        <c:tickLblPos val="nextTo"/>
        <c:crossAx val="141013760"/>
        <c:crosses val="autoZero"/>
        <c:auto val="1"/>
        <c:lblAlgn val="ctr"/>
        <c:lblOffset val="100"/>
        <c:noMultiLvlLbl val="0"/>
      </c:catAx>
      <c:valAx>
        <c:axId val="141013760"/>
        <c:scaling>
          <c:orientation val="minMax"/>
        </c:scaling>
        <c:delete val="0"/>
        <c:axPos val="l"/>
        <c:majorGridlines/>
        <c:title>
          <c:tx>
            <c:rich>
              <a:bodyPr rot="-5400000" vert="horz"/>
              <a:lstStyle/>
              <a:p>
                <a:pPr>
                  <a:defRPr/>
                </a:pPr>
                <a:r>
                  <a:rPr lang="en-US"/>
                  <a:t>Fecal coliform load (billions / day)</a:t>
                </a:r>
              </a:p>
            </c:rich>
          </c:tx>
          <c:overlay val="0"/>
        </c:title>
        <c:numFmt formatCode="#,##0" sourceLinked="0"/>
        <c:majorTickMark val="out"/>
        <c:minorTickMark val="none"/>
        <c:tickLblPos val="nextTo"/>
        <c:crossAx val="140995584"/>
        <c:crosses val="autoZero"/>
        <c:crossBetween val="between"/>
        <c:majorUnit val="100"/>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46037</xdr:colOff>
      <xdr:row>1</xdr:row>
      <xdr:rowOff>166688</xdr:rowOff>
    </xdr:from>
    <xdr:to>
      <xdr:col>20</xdr:col>
      <xdr:colOff>103187</xdr:colOff>
      <xdr:row>17</xdr:row>
      <xdr:rowOff>7938</xdr:rowOff>
    </xdr:to>
    <xdr:graphicFrame macro="">
      <xdr:nvGraphicFramePr>
        <xdr:cNvPr id="10" name="Chart 9">
          <a:extLst>
            <a:ext uri="{FF2B5EF4-FFF2-40B4-BE49-F238E27FC236}">
              <a16:creationId xmlns:a16="http://schemas.microsoft.com/office/drawing/2014/main" id="{00000000-0008-0000-08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236536</xdr:colOff>
      <xdr:row>1</xdr:row>
      <xdr:rowOff>174625</xdr:rowOff>
    </xdr:from>
    <xdr:to>
      <xdr:col>11</xdr:col>
      <xdr:colOff>96627</xdr:colOff>
      <xdr:row>17</xdr:row>
      <xdr:rowOff>8899</xdr:rowOff>
    </xdr:to>
    <xdr:graphicFrame macro="">
      <xdr:nvGraphicFramePr>
        <xdr:cNvPr id="12" name="Chart 11">
          <a:extLst>
            <a:ext uri="{FF2B5EF4-FFF2-40B4-BE49-F238E27FC236}">
              <a16:creationId xmlns:a16="http://schemas.microsoft.com/office/drawing/2014/main" id="{00000000-0008-0000-08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0.70046</cdr:x>
      <cdr:y>0.14869</cdr:y>
    </cdr:from>
    <cdr:to>
      <cdr:x>1</cdr:x>
      <cdr:y>0.24513</cdr:y>
    </cdr:to>
    <cdr:sp macro="" textlink="">
      <cdr:nvSpPr>
        <cdr:cNvPr id="2" name="TextBox 15"/>
        <cdr:cNvSpPr txBox="1"/>
      </cdr:nvSpPr>
      <cdr:spPr>
        <a:xfrm xmlns:a="http://schemas.openxmlformats.org/drawingml/2006/main">
          <a:off x="3432537" y="428570"/>
          <a:ext cx="1467866" cy="2779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solidFill>
                <a:srgbClr val="FF0000"/>
              </a:solidFill>
            </a:rPr>
            <a:t>Impairment is at 480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A33" sqref="A33"/>
    </sheetView>
  </sheetViews>
  <sheetFormatPr defaultRowHeight="15" x14ac:dyDescent="0.25"/>
  <sheetData>
    <row r="1" spans="1:5" ht="18.75" x14ac:dyDescent="0.3">
      <c r="C1" s="76" t="s">
        <v>103</v>
      </c>
    </row>
    <row r="3" spans="1:5" x14ac:dyDescent="0.25">
      <c r="A3" t="s">
        <v>104</v>
      </c>
    </row>
    <row r="5" spans="1:5" x14ac:dyDescent="0.25">
      <c r="A5" t="s">
        <v>93</v>
      </c>
    </row>
    <row r="7" spans="1:5" x14ac:dyDescent="0.25">
      <c r="A7" t="s">
        <v>94</v>
      </c>
    </row>
    <row r="9" spans="1:5" x14ac:dyDescent="0.25">
      <c r="A9" t="s">
        <v>95</v>
      </c>
    </row>
    <row r="11" spans="1:5" x14ac:dyDescent="0.25">
      <c r="A11" t="s">
        <v>97</v>
      </c>
    </row>
    <row r="13" spans="1:5" x14ac:dyDescent="0.25">
      <c r="A13" t="s">
        <v>96</v>
      </c>
    </row>
    <row r="15" spans="1:5" x14ac:dyDescent="0.25">
      <c r="A15" t="s">
        <v>105</v>
      </c>
      <c r="E15" s="5"/>
    </row>
    <row r="17" spans="1:1" x14ac:dyDescent="0.25">
      <c r="A17" t="s">
        <v>98</v>
      </c>
    </row>
    <row r="19" spans="1:1" x14ac:dyDescent="0.25">
      <c r="A19" t="s">
        <v>99</v>
      </c>
    </row>
    <row r="21" spans="1:1" x14ac:dyDescent="0.25">
      <c r="A21" t="s">
        <v>100</v>
      </c>
    </row>
    <row r="23" spans="1:1" x14ac:dyDescent="0.25">
      <c r="A23" t="s">
        <v>101</v>
      </c>
    </row>
    <row r="25" spans="1:1" x14ac:dyDescent="0.25">
      <c r="A25" t="s">
        <v>102</v>
      </c>
    </row>
    <row r="27" spans="1:1" x14ac:dyDescent="0.25">
      <c r="A27" t="s">
        <v>106</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tabSelected="1" workbookViewId="0">
      <selection activeCell="B1" sqref="B1"/>
    </sheetView>
  </sheetViews>
  <sheetFormatPr defaultRowHeight="15" x14ac:dyDescent="0.25"/>
  <sheetData>
    <row r="1" spans="2:2" x14ac:dyDescent="0.25">
      <c r="B1" s="36" t="s">
        <v>92</v>
      </c>
    </row>
    <row r="3" spans="2:2" x14ac:dyDescent="0.25">
      <c r="B3" t="s">
        <v>86</v>
      </c>
    </row>
    <row r="4" spans="2:2" x14ac:dyDescent="0.25">
      <c r="B4" t="s">
        <v>84</v>
      </c>
    </row>
    <row r="5" spans="2:2" x14ac:dyDescent="0.25">
      <c r="B5" t="s">
        <v>90</v>
      </c>
    </row>
    <row r="6" spans="2:2" x14ac:dyDescent="0.25">
      <c r="B6" t="s">
        <v>83</v>
      </c>
    </row>
    <row r="7" spans="2:2" x14ac:dyDescent="0.25">
      <c r="B7" t="s">
        <v>88</v>
      </c>
    </row>
    <row r="8" spans="2:2" x14ac:dyDescent="0.25">
      <c r="B8" t="s">
        <v>87</v>
      </c>
    </row>
    <row r="9" spans="2:2" x14ac:dyDescent="0.25">
      <c r="B9" t="s">
        <v>89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
  <sheetViews>
    <sheetView workbookViewId="0">
      <selection activeCell="E28" sqref="E28"/>
    </sheetView>
  </sheetViews>
  <sheetFormatPr defaultRowHeight="15" x14ac:dyDescent="0.25"/>
  <cols>
    <col min="2" max="2" width="16.7109375" customWidth="1"/>
    <col min="4" max="4" width="9.140625" style="2"/>
    <col min="5" max="5" width="9.140625" style="9"/>
    <col min="6" max="6" width="10.140625" style="2" bestFit="1" customWidth="1"/>
    <col min="7" max="7" width="13.7109375" style="2" customWidth="1"/>
    <col min="8" max="8" width="18.140625" style="2" customWidth="1"/>
    <col min="9" max="9" width="19.140625" style="2" customWidth="1"/>
    <col min="10" max="10" width="25.85546875" style="2" customWidth="1"/>
    <col min="11" max="11" width="22" style="2" customWidth="1"/>
  </cols>
  <sheetData>
    <row r="1" spans="2:12" ht="47.25" x14ac:dyDescent="0.25">
      <c r="B1" s="15"/>
      <c r="C1" s="16" t="s">
        <v>16</v>
      </c>
      <c r="D1" s="17" t="s">
        <v>34</v>
      </c>
      <c r="E1" s="18" t="s">
        <v>12</v>
      </c>
      <c r="F1" s="17" t="s">
        <v>35</v>
      </c>
      <c r="G1" s="17" t="s">
        <v>13</v>
      </c>
      <c r="H1" s="17" t="s">
        <v>31</v>
      </c>
      <c r="I1" s="17" t="s">
        <v>32</v>
      </c>
      <c r="J1" s="17" t="s">
        <v>33</v>
      </c>
      <c r="K1" s="17" t="s">
        <v>61</v>
      </c>
      <c r="L1" s="1"/>
    </row>
    <row r="2" spans="2:12" ht="26.25" customHeight="1" x14ac:dyDescent="0.25">
      <c r="B2" s="25" t="s">
        <v>11</v>
      </c>
      <c r="C2" s="39">
        <v>840</v>
      </c>
      <c r="D2" s="42">
        <f>C2*4046.86</f>
        <v>3399362.4</v>
      </c>
      <c r="E2" s="46">
        <v>1</v>
      </c>
      <c r="F2" s="42">
        <f>D2*E2</f>
        <v>3399362.4</v>
      </c>
      <c r="G2" s="42">
        <f>F2*1000</f>
        <v>3399362400</v>
      </c>
      <c r="H2" s="41">
        <v>14</v>
      </c>
      <c r="I2" s="42">
        <f>H2*10</f>
        <v>140</v>
      </c>
      <c r="J2" s="42">
        <f>G2*I2</f>
        <v>475910736000</v>
      </c>
      <c r="K2" s="31">
        <f>J2/1000000000</f>
        <v>475.91073599999999</v>
      </c>
    </row>
    <row r="4" spans="2:12" x14ac:dyDescent="0.25">
      <c r="B4" s="33"/>
      <c r="C4" s="36" t="s">
        <v>68</v>
      </c>
      <c r="D4" s="37"/>
      <c r="E4" s="38"/>
    </row>
    <row r="5" spans="2:12" x14ac:dyDescent="0.25">
      <c r="B5" s="34"/>
      <c r="C5" s="36" t="s">
        <v>69</v>
      </c>
      <c r="D5" s="37"/>
      <c r="E5" s="38"/>
    </row>
    <row r="6" spans="2:12" x14ac:dyDescent="0.25">
      <c r="B6" s="35"/>
      <c r="C6" s="36" t="s">
        <v>70</v>
      </c>
      <c r="D6" s="37"/>
      <c r="E6" s="38"/>
    </row>
    <row r="8" spans="2:12" x14ac:dyDescent="0.25">
      <c r="B8" s="44" t="s">
        <v>79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7"/>
  <sheetViews>
    <sheetView workbookViewId="0">
      <selection activeCell="I30" sqref="I30"/>
    </sheetView>
  </sheetViews>
  <sheetFormatPr defaultRowHeight="15" x14ac:dyDescent="0.25"/>
  <cols>
    <col min="5" max="5" width="12.5703125" style="2" customWidth="1"/>
    <col min="6" max="6" width="10.140625" customWidth="1"/>
    <col min="8" max="9" width="15.7109375" style="2" customWidth="1"/>
    <col min="12" max="12" width="18" customWidth="1"/>
    <col min="13" max="13" width="12.140625" style="2" customWidth="1"/>
    <col min="14" max="14" width="14.28515625" customWidth="1"/>
    <col min="15" max="15" width="14.28515625" style="2" customWidth="1"/>
    <col min="16" max="16" width="11.140625" style="2" bestFit="1" customWidth="1"/>
    <col min="17" max="17" width="9.140625" style="13"/>
    <col min="18" max="18" width="11.85546875" style="2" customWidth="1"/>
    <col min="19" max="19" width="18.5703125" style="2" bestFit="1" customWidth="1"/>
    <col min="20" max="20" width="17.7109375" style="2" customWidth="1"/>
    <col min="21" max="21" width="18.28515625" style="7" customWidth="1"/>
    <col min="22" max="22" width="18" customWidth="1"/>
  </cols>
  <sheetData>
    <row r="1" spans="2:22" ht="51" customHeight="1" x14ac:dyDescent="0.25">
      <c r="B1" s="19" t="s">
        <v>0</v>
      </c>
      <c r="C1" s="16" t="s">
        <v>37</v>
      </c>
      <c r="D1" s="16" t="s">
        <v>38</v>
      </c>
      <c r="E1" s="17" t="s">
        <v>5</v>
      </c>
      <c r="F1" s="16" t="s">
        <v>6</v>
      </c>
      <c r="G1" s="16" t="s">
        <v>7</v>
      </c>
      <c r="H1" s="17" t="s">
        <v>8</v>
      </c>
      <c r="I1" s="17" t="s">
        <v>62</v>
      </c>
      <c r="J1" s="16" t="s">
        <v>9</v>
      </c>
      <c r="K1" s="16" t="s">
        <v>10</v>
      </c>
      <c r="L1" s="16" t="s">
        <v>14</v>
      </c>
      <c r="M1" s="17" t="s">
        <v>14</v>
      </c>
      <c r="O1" s="4"/>
      <c r="P1" s="4"/>
      <c r="Q1" s="12"/>
      <c r="R1" s="4"/>
      <c r="S1" s="4"/>
      <c r="T1" s="4"/>
      <c r="U1" s="8"/>
      <c r="V1" s="3"/>
    </row>
    <row r="2" spans="2:22" x14ac:dyDescent="0.25">
      <c r="B2" s="56" t="s">
        <v>1</v>
      </c>
      <c r="C2" s="57">
        <v>4.0999999999999996</v>
      </c>
      <c r="D2" s="58">
        <v>16</v>
      </c>
      <c r="E2" s="59">
        <f>D2*2446576</f>
        <v>39145216</v>
      </c>
      <c r="F2" s="57">
        <v>232</v>
      </c>
      <c r="G2" s="59">
        <f>F2*10</f>
        <v>2320</v>
      </c>
      <c r="H2" s="59">
        <f>E2*G2</f>
        <v>90816901120</v>
      </c>
      <c r="I2" s="60">
        <f>H2/1000000000</f>
        <v>90.816901119999997</v>
      </c>
      <c r="J2" s="61">
        <v>2000</v>
      </c>
      <c r="K2" s="59">
        <f>J2*10</f>
        <v>20000</v>
      </c>
      <c r="L2" s="59">
        <f>E2*K2</f>
        <v>782904320000</v>
      </c>
      <c r="M2" s="60">
        <f>L2/1000000000</f>
        <v>782.90431999999998</v>
      </c>
      <c r="U2" s="9"/>
      <c r="V2" s="9"/>
    </row>
    <row r="3" spans="2:22" x14ac:dyDescent="0.25">
      <c r="B3" s="56" t="s">
        <v>2</v>
      </c>
      <c r="C3" s="57">
        <v>6.4</v>
      </c>
      <c r="D3" s="57">
        <v>26</v>
      </c>
      <c r="E3" s="59">
        <f t="shared" ref="E3:E5" si="0">D3*2446576</f>
        <v>63610976</v>
      </c>
      <c r="F3" s="57">
        <v>232</v>
      </c>
      <c r="G3" s="59">
        <f t="shared" ref="G3:G5" si="1">F3*10</f>
        <v>2320</v>
      </c>
      <c r="H3" s="59">
        <f t="shared" ref="H3:H5" si="2">E3*G3</f>
        <v>147577464320</v>
      </c>
      <c r="I3" s="60">
        <f t="shared" ref="I3:I5" si="3">H3/1000000000</f>
        <v>147.57746431999999</v>
      </c>
      <c r="J3" s="61">
        <v>2000</v>
      </c>
      <c r="K3" s="59">
        <f t="shared" ref="K3:K5" si="4">J3*10</f>
        <v>20000</v>
      </c>
      <c r="L3" s="59">
        <f t="shared" ref="L3:L5" si="5">E3*K3</f>
        <v>1272219520000</v>
      </c>
      <c r="M3" s="60">
        <f t="shared" ref="M3:M5" si="6">L3/1000000000</f>
        <v>1272.2195200000001</v>
      </c>
      <c r="U3" s="9"/>
      <c r="V3" s="9"/>
    </row>
    <row r="4" spans="2:22" x14ac:dyDescent="0.25">
      <c r="B4" s="47" t="s">
        <v>3</v>
      </c>
      <c r="C4" s="39">
        <v>12.2</v>
      </c>
      <c r="D4" s="39">
        <v>46</v>
      </c>
      <c r="E4" s="42">
        <f t="shared" si="0"/>
        <v>112542496</v>
      </c>
      <c r="F4" s="39">
        <v>232</v>
      </c>
      <c r="G4" s="42">
        <f t="shared" si="1"/>
        <v>2320</v>
      </c>
      <c r="H4" s="42">
        <f t="shared" si="2"/>
        <v>261098590720</v>
      </c>
      <c r="I4" s="31">
        <f t="shared" si="3"/>
        <v>261.09859072</v>
      </c>
      <c r="J4" s="41">
        <v>2000</v>
      </c>
      <c r="K4" s="42">
        <f t="shared" si="4"/>
        <v>20000</v>
      </c>
      <c r="L4" s="42">
        <f t="shared" si="5"/>
        <v>2250849920000</v>
      </c>
      <c r="M4" s="31">
        <f t="shared" si="6"/>
        <v>2250.8499200000001</v>
      </c>
    </row>
    <row r="5" spans="2:22" x14ac:dyDescent="0.25">
      <c r="B5" s="56" t="s">
        <v>4</v>
      </c>
      <c r="C5" s="57">
        <v>2.8</v>
      </c>
      <c r="D5" s="57">
        <v>11</v>
      </c>
      <c r="E5" s="59">
        <f t="shared" si="0"/>
        <v>26912336</v>
      </c>
      <c r="F5" s="57">
        <v>232</v>
      </c>
      <c r="G5" s="59">
        <f t="shared" si="1"/>
        <v>2320</v>
      </c>
      <c r="H5" s="59">
        <f t="shared" si="2"/>
        <v>62436619520</v>
      </c>
      <c r="I5" s="60">
        <f t="shared" si="3"/>
        <v>62.436619520000001</v>
      </c>
      <c r="J5" s="61">
        <v>2000</v>
      </c>
      <c r="K5" s="59">
        <f t="shared" si="4"/>
        <v>20000</v>
      </c>
      <c r="L5" s="59">
        <f t="shared" si="5"/>
        <v>538246720000</v>
      </c>
      <c r="M5" s="60">
        <f t="shared" si="6"/>
        <v>538.24671999999998</v>
      </c>
    </row>
    <row r="7" spans="2:22" x14ac:dyDescent="0.25">
      <c r="B7" s="33"/>
      <c r="C7" s="36" t="s">
        <v>68</v>
      </c>
    </row>
    <row r="8" spans="2:22" x14ac:dyDescent="0.25">
      <c r="B8" s="34"/>
      <c r="C8" s="36" t="s">
        <v>69</v>
      </c>
    </row>
    <row r="9" spans="2:22" x14ac:dyDescent="0.25">
      <c r="B9" s="35"/>
      <c r="C9" s="36" t="s">
        <v>70</v>
      </c>
    </row>
    <row r="11" spans="2:22" x14ac:dyDescent="0.25">
      <c r="B11" s="44" t="s">
        <v>79</v>
      </c>
      <c r="C11" s="44"/>
      <c r="D11" s="44"/>
      <c r="E11" s="45"/>
      <c r="F11" s="44"/>
      <c r="G11" s="44"/>
      <c r="H11" s="45"/>
    </row>
    <row r="14" spans="2:22" x14ac:dyDescent="0.25">
      <c r="B14" t="s">
        <v>36</v>
      </c>
    </row>
    <row r="15" spans="2:22" x14ac:dyDescent="0.25">
      <c r="B15" t="s">
        <v>71</v>
      </c>
    </row>
    <row r="37" spans="3:3" x14ac:dyDescent="0.25">
      <c r="C37" s="5" t="s">
        <v>23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0"/>
  <sheetViews>
    <sheetView workbookViewId="0">
      <selection activeCell="C10" sqref="C10"/>
    </sheetView>
  </sheetViews>
  <sheetFormatPr defaultRowHeight="15" x14ac:dyDescent="0.25"/>
  <cols>
    <col min="3" max="3" width="12.42578125" customWidth="1"/>
    <col min="4" max="4" width="11.5703125" style="2" customWidth="1"/>
    <col min="5" max="5" width="19.42578125" customWidth="1"/>
    <col min="6" max="6" width="18.5703125" style="2" customWidth="1"/>
    <col min="7" max="7" width="19.5703125" style="14" customWidth="1"/>
  </cols>
  <sheetData>
    <row r="1" spans="3:7" ht="30" x14ac:dyDescent="0.25">
      <c r="C1" s="20" t="s">
        <v>39</v>
      </c>
      <c r="D1" s="21" t="s">
        <v>40</v>
      </c>
      <c r="E1" s="22" t="s">
        <v>28</v>
      </c>
      <c r="F1" s="24" t="s">
        <v>29</v>
      </c>
      <c r="G1" s="23" t="s">
        <v>30</v>
      </c>
    </row>
    <row r="2" spans="3:7" x14ac:dyDescent="0.25">
      <c r="C2" s="49">
        <v>1</v>
      </c>
      <c r="D2" s="59">
        <f>C2*3785000</f>
        <v>3785000</v>
      </c>
      <c r="E2" s="57">
        <v>14</v>
      </c>
      <c r="F2" s="59">
        <f>E2*10</f>
        <v>140</v>
      </c>
      <c r="G2" s="62">
        <f>(D2*F2)/1000000000</f>
        <v>0.52990000000000004</v>
      </c>
    </row>
    <row r="3" spans="3:7" x14ac:dyDescent="0.25">
      <c r="C3" s="39">
        <v>2</v>
      </c>
      <c r="D3" s="42">
        <f t="shared" ref="D3:D4" si="0">C3*3785000</f>
        <v>7570000</v>
      </c>
      <c r="E3" s="39">
        <v>14</v>
      </c>
      <c r="F3" s="42">
        <f t="shared" ref="F3:F4" si="1">E3*10</f>
        <v>140</v>
      </c>
      <c r="G3" s="30">
        <f t="shared" ref="G3:G4" si="2">(D3*F3)/1000000000</f>
        <v>1.0598000000000001</v>
      </c>
    </row>
    <row r="4" spans="3:7" x14ac:dyDescent="0.25">
      <c r="C4" s="49">
        <v>3</v>
      </c>
      <c r="D4" s="59">
        <f t="shared" si="0"/>
        <v>11355000</v>
      </c>
      <c r="E4" s="57">
        <v>14</v>
      </c>
      <c r="F4" s="59">
        <f t="shared" si="1"/>
        <v>140</v>
      </c>
      <c r="G4" s="62">
        <f t="shared" si="2"/>
        <v>1.5896999999999999</v>
      </c>
    </row>
    <row r="6" spans="3:7" x14ac:dyDescent="0.25">
      <c r="C6" s="33"/>
      <c r="D6" s="37" t="s">
        <v>68</v>
      </c>
    </row>
    <row r="7" spans="3:7" x14ac:dyDescent="0.25">
      <c r="C7" s="34"/>
      <c r="D7" s="37" t="s">
        <v>69</v>
      </c>
    </row>
    <row r="8" spans="3:7" x14ac:dyDescent="0.25">
      <c r="C8" s="35"/>
      <c r="D8" s="37" t="s">
        <v>70</v>
      </c>
    </row>
    <row r="10" spans="3:7" x14ac:dyDescent="0.25">
      <c r="C10" s="44" t="s">
        <v>79</v>
      </c>
      <c r="D10" s="45"/>
      <c r="E10" s="44"/>
      <c r="F10" s="45"/>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workbookViewId="0">
      <selection activeCell="B12" sqref="B12"/>
    </sheetView>
  </sheetViews>
  <sheetFormatPr defaultRowHeight="15" x14ac:dyDescent="0.25"/>
  <cols>
    <col min="2" max="2" width="9.140625" style="9"/>
    <col min="3" max="3" width="14.140625" style="2" customWidth="1"/>
    <col min="4" max="4" width="19.5703125" style="2" customWidth="1"/>
    <col min="5" max="5" width="18.42578125" style="2" customWidth="1"/>
    <col min="6" max="6" width="17.7109375" style="14" customWidth="1"/>
  </cols>
  <sheetData>
    <row r="1" spans="2:6" ht="38.25" customHeight="1" x14ac:dyDescent="0.25">
      <c r="B1" s="18" t="s">
        <v>39</v>
      </c>
      <c r="C1" s="17" t="s">
        <v>40</v>
      </c>
      <c r="D1" s="17" t="s">
        <v>28</v>
      </c>
      <c r="E1" s="17" t="s">
        <v>29</v>
      </c>
      <c r="F1" s="26" t="s">
        <v>30</v>
      </c>
    </row>
    <row r="2" spans="2:6" x14ac:dyDescent="0.25">
      <c r="B2" s="63">
        <v>0.5</v>
      </c>
      <c r="C2" s="64">
        <f>B2*3785000</f>
        <v>1892500</v>
      </c>
      <c r="D2" s="61">
        <v>79</v>
      </c>
      <c r="E2" s="59">
        <f>D2*10</f>
        <v>790</v>
      </c>
      <c r="F2" s="62">
        <f>(C2*E2)/1000000000</f>
        <v>1.4950749999999999</v>
      </c>
    </row>
    <row r="3" spans="2:6" x14ac:dyDescent="0.25">
      <c r="B3" s="46">
        <v>1</v>
      </c>
      <c r="C3" s="53">
        <f t="shared" ref="C3:C4" si="0">B3*3785000</f>
        <v>3785000</v>
      </c>
      <c r="D3" s="41">
        <v>79</v>
      </c>
      <c r="E3" s="42">
        <f t="shared" ref="E3:E4" si="1">D3*10</f>
        <v>790</v>
      </c>
      <c r="F3" s="30">
        <f t="shared" ref="F3:F4" si="2">(C3*E3)/1000000000</f>
        <v>2.9901499999999999</v>
      </c>
    </row>
    <row r="4" spans="2:6" x14ac:dyDescent="0.25">
      <c r="B4" s="63">
        <v>1.5</v>
      </c>
      <c r="C4" s="64">
        <f t="shared" si="0"/>
        <v>5677500</v>
      </c>
      <c r="D4" s="61">
        <v>79</v>
      </c>
      <c r="E4" s="59">
        <f t="shared" si="1"/>
        <v>790</v>
      </c>
      <c r="F4" s="62">
        <f t="shared" si="2"/>
        <v>4.4852249999999998</v>
      </c>
    </row>
    <row r="6" spans="2:6" x14ac:dyDescent="0.25">
      <c r="B6" s="54"/>
      <c r="C6" s="37" t="s">
        <v>68</v>
      </c>
      <c r="D6" s="37"/>
    </row>
    <row r="7" spans="2:6" x14ac:dyDescent="0.25">
      <c r="B7" s="52"/>
      <c r="C7" s="50" t="s">
        <v>69</v>
      </c>
      <c r="D7" s="37"/>
    </row>
    <row r="8" spans="2:6" x14ac:dyDescent="0.25">
      <c r="B8" s="55"/>
      <c r="C8" s="37" t="s">
        <v>70</v>
      </c>
      <c r="D8" s="37"/>
    </row>
    <row r="9" spans="2:6" x14ac:dyDescent="0.25">
      <c r="B9" s="38"/>
      <c r="C9" s="37"/>
      <c r="D9" s="37"/>
    </row>
    <row r="10" spans="2:6" x14ac:dyDescent="0.25">
      <c r="B10" s="51" t="s">
        <v>79</v>
      </c>
      <c r="C10" s="37"/>
      <c r="D10" s="37"/>
    </row>
    <row r="12" spans="2:6" x14ac:dyDescent="0.25">
      <c r="B12" s="9" t="s">
        <v>72</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5"/>
  <sheetViews>
    <sheetView workbookViewId="0">
      <selection activeCell="H21" sqref="H21"/>
    </sheetView>
  </sheetViews>
  <sheetFormatPr defaultRowHeight="15" x14ac:dyDescent="0.25"/>
  <cols>
    <col min="3" max="3" width="12" customWidth="1"/>
    <col min="4" max="5" width="12.140625" customWidth="1"/>
    <col min="6" max="6" width="14.140625" customWidth="1"/>
    <col min="7" max="8" width="21.42578125" style="2" customWidth="1"/>
    <col min="9" max="9" width="14.42578125" style="2" customWidth="1"/>
    <col min="10" max="10" width="19.28515625" style="14" customWidth="1"/>
    <col min="11" max="11" width="20.28515625" style="2" customWidth="1"/>
    <col min="12" max="12" width="15.5703125" style="2" customWidth="1"/>
    <col min="13" max="13" width="15.7109375" style="2" customWidth="1"/>
  </cols>
  <sheetData>
    <row r="1" spans="3:27" ht="60" x14ac:dyDescent="0.25">
      <c r="C1" s="16" t="s">
        <v>51</v>
      </c>
      <c r="D1" s="16" t="s">
        <v>52</v>
      </c>
      <c r="E1" s="16" t="s">
        <v>54</v>
      </c>
      <c r="F1" s="16" t="s">
        <v>55</v>
      </c>
      <c r="G1" s="17" t="s">
        <v>56</v>
      </c>
      <c r="H1" s="17" t="s">
        <v>60</v>
      </c>
      <c r="I1" s="17" t="s">
        <v>53</v>
      </c>
      <c r="J1" s="26" t="s">
        <v>57</v>
      </c>
      <c r="K1" s="17" t="s">
        <v>63</v>
      </c>
      <c r="L1" s="17" t="s">
        <v>58</v>
      </c>
      <c r="M1" s="17" t="s">
        <v>59</v>
      </c>
    </row>
    <row r="2" spans="3:27" x14ac:dyDescent="0.25">
      <c r="C2" s="57">
        <v>100</v>
      </c>
      <c r="D2" s="57">
        <v>2.5</v>
      </c>
      <c r="E2" s="57">
        <v>20</v>
      </c>
      <c r="F2" s="57">
        <v>70</v>
      </c>
      <c r="G2" s="59">
        <f>(D2*F2)*3.785</f>
        <v>662.375</v>
      </c>
      <c r="H2" s="59">
        <f>C2*G2</f>
        <v>66237.5</v>
      </c>
      <c r="I2" s="61">
        <v>1000000</v>
      </c>
      <c r="J2" s="65">
        <f>(I2*10)/1000000000</f>
        <v>0.01</v>
      </c>
      <c r="K2" s="59">
        <f>H2*J2</f>
        <v>662.375</v>
      </c>
      <c r="L2" s="59">
        <f>K2*(E2/100)</f>
        <v>132.47499999999999</v>
      </c>
      <c r="M2" s="60">
        <f>L2*0.67</f>
        <v>88.758250000000004</v>
      </c>
    </row>
    <row r="3" spans="3:27" x14ac:dyDescent="0.25">
      <c r="C3" s="39">
        <v>150</v>
      </c>
      <c r="D3" s="39">
        <v>2.5</v>
      </c>
      <c r="E3" s="39">
        <v>20</v>
      </c>
      <c r="F3" s="39">
        <v>70</v>
      </c>
      <c r="G3" s="42">
        <f t="shared" ref="G3:G4" si="0">(D3*F3)*3.785</f>
        <v>662.375</v>
      </c>
      <c r="H3" s="42">
        <f t="shared" ref="H3:H4" si="1">C3*G3</f>
        <v>99356.25</v>
      </c>
      <c r="I3" s="41">
        <v>1000000</v>
      </c>
      <c r="J3" s="66">
        <f t="shared" ref="J3:J4" si="2">(I3*10)/1000000000</f>
        <v>0.01</v>
      </c>
      <c r="K3" s="42">
        <f t="shared" ref="K3:K4" si="3">H3*J3</f>
        <v>993.5625</v>
      </c>
      <c r="L3" s="42">
        <f t="shared" ref="L3:L4" si="4">K3*(E3/100)</f>
        <v>198.71250000000001</v>
      </c>
      <c r="M3" s="31">
        <f t="shared" ref="M3:M4" si="5">L3*0.67</f>
        <v>133.13737500000002</v>
      </c>
    </row>
    <row r="4" spans="3:27" x14ac:dyDescent="0.25">
      <c r="C4" s="57">
        <v>200</v>
      </c>
      <c r="D4" s="57">
        <v>2.5</v>
      </c>
      <c r="E4" s="57">
        <v>20</v>
      </c>
      <c r="F4" s="57">
        <v>70</v>
      </c>
      <c r="G4" s="59">
        <f t="shared" si="0"/>
        <v>662.375</v>
      </c>
      <c r="H4" s="59">
        <f t="shared" si="1"/>
        <v>132475</v>
      </c>
      <c r="I4" s="61">
        <v>1000000</v>
      </c>
      <c r="J4" s="65">
        <f t="shared" si="2"/>
        <v>0.01</v>
      </c>
      <c r="K4" s="59">
        <f t="shared" si="3"/>
        <v>1324.75</v>
      </c>
      <c r="L4" s="59">
        <f t="shared" si="4"/>
        <v>264.95</v>
      </c>
      <c r="M4" s="60">
        <f t="shared" si="5"/>
        <v>177.51650000000001</v>
      </c>
    </row>
    <row r="6" spans="3:27" x14ac:dyDescent="0.25">
      <c r="C6" s="33"/>
      <c r="D6" s="36" t="s">
        <v>68</v>
      </c>
    </row>
    <row r="7" spans="3:27" x14ac:dyDescent="0.25">
      <c r="C7" s="34"/>
      <c r="D7" s="36" t="s">
        <v>69</v>
      </c>
    </row>
    <row r="8" spans="3:27" x14ac:dyDescent="0.25">
      <c r="C8" s="35"/>
      <c r="D8" s="36" t="s">
        <v>70</v>
      </c>
      <c r="L8"/>
      <c r="M8"/>
    </row>
    <row r="9" spans="3:27" x14ac:dyDescent="0.25">
      <c r="L9"/>
      <c r="M9"/>
    </row>
    <row r="10" spans="3:27" x14ac:dyDescent="0.25">
      <c r="C10" s="44" t="s">
        <v>79</v>
      </c>
      <c r="L10"/>
      <c r="M10"/>
    </row>
    <row r="11" spans="3:27" x14ac:dyDescent="0.25">
      <c r="L11"/>
      <c r="M11"/>
    </row>
    <row r="12" spans="3:27" x14ac:dyDescent="0.25">
      <c r="C12" t="s">
        <v>85</v>
      </c>
      <c r="L12"/>
      <c r="M12"/>
    </row>
    <row r="13" spans="3:27" x14ac:dyDescent="0.25">
      <c r="C13" t="s">
        <v>73</v>
      </c>
      <c r="L13"/>
      <c r="M13"/>
    </row>
    <row r="14" spans="3:27" x14ac:dyDescent="0.25">
      <c r="K14" s="6"/>
      <c r="L14"/>
      <c r="M14"/>
      <c r="U14" s="2"/>
      <c r="V14" s="2"/>
      <c r="W14" s="2"/>
    </row>
    <row r="15" spans="3:27" x14ac:dyDescent="0.25">
      <c r="L15"/>
      <c r="M15"/>
      <c r="U15" s="2"/>
      <c r="V15" s="2"/>
      <c r="W15" s="2"/>
      <c r="AA15" s="2"/>
    </row>
    <row r="16" spans="3:27" x14ac:dyDescent="0.25">
      <c r="L16"/>
      <c r="M16"/>
      <c r="U16" s="2"/>
      <c r="V16" s="2"/>
      <c r="W16" s="2"/>
      <c r="AA16" s="2"/>
    </row>
    <row r="17" spans="3:27" x14ac:dyDescent="0.25">
      <c r="L17"/>
      <c r="M17"/>
      <c r="U17" s="2"/>
      <c r="V17" s="2"/>
      <c r="W17" s="2"/>
      <c r="AA17" s="2"/>
    </row>
    <row r="18" spans="3:27" x14ac:dyDescent="0.25">
      <c r="L18"/>
      <c r="M18"/>
      <c r="Q18" s="2"/>
      <c r="R18" s="2"/>
      <c r="W18" s="2"/>
      <c r="Z18" s="2"/>
      <c r="AA18" s="2"/>
    </row>
    <row r="19" spans="3:27" x14ac:dyDescent="0.25">
      <c r="L19"/>
      <c r="M19"/>
      <c r="Q19" s="2"/>
      <c r="R19" s="2"/>
      <c r="W19" s="2"/>
      <c r="Z19" s="2"/>
      <c r="AA19" s="2"/>
    </row>
    <row r="20" spans="3:27" x14ac:dyDescent="0.25">
      <c r="L20"/>
      <c r="M20"/>
      <c r="Q20" s="2"/>
      <c r="R20" s="2"/>
      <c r="W20" s="2"/>
      <c r="Z20" s="2"/>
      <c r="AA20" s="2"/>
    </row>
    <row r="21" spans="3:27" x14ac:dyDescent="0.25">
      <c r="L21"/>
      <c r="M21"/>
      <c r="Q21" s="2"/>
      <c r="R21" s="2"/>
      <c r="W21" s="2"/>
      <c r="Z21" s="2"/>
      <c r="AA21" s="2"/>
    </row>
    <row r="22" spans="3:27" x14ac:dyDescent="0.25">
      <c r="L22"/>
      <c r="M22"/>
      <c r="Q22" s="2"/>
      <c r="R22" s="2"/>
      <c r="W22" s="2"/>
      <c r="Z22" s="2"/>
      <c r="AA22" s="2"/>
    </row>
    <row r="23" spans="3:27" x14ac:dyDescent="0.25">
      <c r="M23"/>
      <c r="Q23" s="2"/>
      <c r="R23" s="2"/>
      <c r="W23" s="2"/>
      <c r="Z23" s="2"/>
      <c r="AA23" s="2"/>
    </row>
    <row r="24" spans="3:27" x14ac:dyDescent="0.25">
      <c r="M24"/>
      <c r="Q24" s="2"/>
      <c r="R24" s="2"/>
      <c r="W24" s="2"/>
      <c r="Z24" s="2"/>
      <c r="AA24" s="2"/>
    </row>
    <row r="25" spans="3:27" x14ac:dyDescent="0.25">
      <c r="L25"/>
      <c r="M25"/>
      <c r="Q25" s="2"/>
      <c r="R25" s="2"/>
      <c r="W25" s="2"/>
      <c r="Z25" s="2"/>
      <c r="AA25" s="2"/>
    </row>
    <row r="26" spans="3:27" x14ac:dyDescent="0.25">
      <c r="L26"/>
      <c r="M26"/>
      <c r="T26" s="2"/>
      <c r="U26" s="2"/>
      <c r="V26" s="2"/>
      <c r="W26" s="2"/>
      <c r="Z26" s="2"/>
      <c r="AA26" s="2"/>
    </row>
    <row r="27" spans="3:27" x14ac:dyDescent="0.25">
      <c r="L27"/>
      <c r="M27"/>
      <c r="T27" s="2"/>
      <c r="U27" s="2"/>
      <c r="V27" s="2"/>
      <c r="W27" s="2"/>
      <c r="Z27" s="2"/>
      <c r="AA27" s="2"/>
    </row>
    <row r="28" spans="3:27" x14ac:dyDescent="0.25">
      <c r="L28"/>
      <c r="M28"/>
      <c r="T28" s="2"/>
      <c r="U28" s="2"/>
      <c r="V28" s="2"/>
      <c r="W28" s="2"/>
      <c r="Z28" s="2"/>
      <c r="AA28" s="2"/>
    </row>
    <row r="29" spans="3:27" x14ac:dyDescent="0.25">
      <c r="C29" s="5"/>
      <c r="L29"/>
      <c r="M29"/>
      <c r="T29" s="2"/>
      <c r="U29" s="2"/>
      <c r="V29" s="2"/>
      <c r="W29" s="2"/>
      <c r="Z29" s="2"/>
      <c r="AA29" s="2"/>
    </row>
    <row r="30" spans="3:27" x14ac:dyDescent="0.25">
      <c r="C30" s="5"/>
      <c r="L30"/>
      <c r="M30"/>
      <c r="T30" s="2"/>
      <c r="U30" s="2"/>
      <c r="V30" s="2"/>
      <c r="W30" s="2"/>
      <c r="Z30" s="2"/>
      <c r="AA30" s="2"/>
    </row>
    <row r="31" spans="3:27" x14ac:dyDescent="0.25">
      <c r="L31"/>
      <c r="M31"/>
      <c r="T31" s="2"/>
      <c r="U31" s="2"/>
      <c r="V31" s="2"/>
      <c r="W31" s="2"/>
      <c r="Z31" s="2"/>
      <c r="AA31" s="2"/>
    </row>
    <row r="32" spans="3:27" x14ac:dyDescent="0.25">
      <c r="L32"/>
      <c r="M32"/>
      <c r="P32" s="5"/>
      <c r="Q32" s="5"/>
      <c r="T32" s="2"/>
      <c r="U32" s="2"/>
      <c r="V32" s="2"/>
      <c r="W32" s="2"/>
      <c r="Z32" s="2"/>
      <c r="AA32" s="2"/>
    </row>
    <row r="33" spans="3:27" x14ac:dyDescent="0.25">
      <c r="L33"/>
      <c r="M33"/>
      <c r="P33" s="5"/>
      <c r="Q33" s="5"/>
      <c r="T33" s="2"/>
      <c r="U33" s="2"/>
      <c r="V33" s="2"/>
      <c r="W33" s="2"/>
      <c r="Z33" s="2"/>
      <c r="AA33" s="2"/>
    </row>
    <row r="34" spans="3:27" x14ac:dyDescent="0.25">
      <c r="L34"/>
      <c r="M34"/>
      <c r="P34" s="5"/>
      <c r="Q34" s="5"/>
      <c r="T34" s="2"/>
      <c r="U34" s="2"/>
      <c r="V34" s="2"/>
      <c r="W34" s="2"/>
      <c r="Z34" s="2"/>
      <c r="AA34" s="2"/>
    </row>
    <row r="35" spans="3:27" x14ac:dyDescent="0.25">
      <c r="L35"/>
      <c r="M35"/>
      <c r="P35" s="5"/>
      <c r="Q35" s="5"/>
      <c r="T35" s="2"/>
      <c r="U35" s="2"/>
      <c r="V35" s="2"/>
      <c r="W35" s="2"/>
      <c r="Z35" s="2"/>
      <c r="AA35" s="2"/>
    </row>
    <row r="36" spans="3:27" x14ac:dyDescent="0.25">
      <c r="C36" t="s">
        <v>15</v>
      </c>
      <c r="L36"/>
      <c r="M36"/>
      <c r="P36" s="5"/>
      <c r="Q36" s="5"/>
      <c r="T36" s="2"/>
      <c r="U36" s="2"/>
      <c r="V36" s="2"/>
      <c r="W36" s="2"/>
      <c r="Z36" s="2"/>
      <c r="AA36" s="2"/>
    </row>
    <row r="37" spans="3:27" x14ac:dyDescent="0.25">
      <c r="L37"/>
      <c r="M37"/>
      <c r="P37" s="5"/>
      <c r="Q37" s="5"/>
      <c r="T37" s="2"/>
      <c r="U37" s="2"/>
      <c r="V37" s="2"/>
      <c r="W37" s="2"/>
      <c r="Z37" s="2"/>
      <c r="AA37" s="2"/>
    </row>
    <row r="38" spans="3:27" x14ac:dyDescent="0.25">
      <c r="L38"/>
      <c r="M38"/>
      <c r="P38" s="5"/>
      <c r="Q38" s="5"/>
      <c r="T38" s="2"/>
      <c r="U38" s="2"/>
      <c r="V38" s="2"/>
      <c r="W38" s="2"/>
      <c r="Z38" s="2"/>
      <c r="AA38" s="2"/>
    </row>
    <row r="39" spans="3:27" x14ac:dyDescent="0.25">
      <c r="L39"/>
      <c r="M39"/>
      <c r="P39" s="5"/>
      <c r="Q39" s="5"/>
      <c r="T39" s="2"/>
      <c r="U39" s="2"/>
      <c r="V39" s="2"/>
      <c r="W39" s="2"/>
      <c r="Z39" s="2"/>
      <c r="AA39" s="2"/>
    </row>
    <row r="40" spans="3:27" x14ac:dyDescent="0.25">
      <c r="L40"/>
      <c r="M40"/>
      <c r="P40" s="5"/>
      <c r="Q40" s="5"/>
      <c r="T40" s="2"/>
      <c r="U40" s="2"/>
      <c r="V40" s="2"/>
      <c r="W40" s="2"/>
      <c r="Z40" s="2"/>
      <c r="AA40" s="2"/>
    </row>
    <row r="41" spans="3:27" x14ac:dyDescent="0.25">
      <c r="Z41" s="2"/>
      <c r="AA41" s="2"/>
    </row>
    <row r="42" spans="3:27" x14ac:dyDescent="0.25">
      <c r="Z42" s="2"/>
      <c r="AA42" s="2"/>
    </row>
    <row r="43" spans="3:27" x14ac:dyDescent="0.25">
      <c r="Z43" s="2"/>
      <c r="AA43" s="2"/>
    </row>
    <row r="44" spans="3:27" x14ac:dyDescent="0.25">
      <c r="Z44" s="2"/>
      <c r="AA44" s="2"/>
    </row>
    <row r="45" spans="3:27" x14ac:dyDescent="0.25">
      <c r="V45" s="2"/>
    </row>
  </sheetData>
  <pageMargins left="0.7" right="0.7" top="0.75" bottom="0.75" header="0.3" footer="0.3"/>
  <pageSetup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workbookViewId="0">
      <selection activeCell="C11" sqref="C11"/>
    </sheetView>
  </sheetViews>
  <sheetFormatPr defaultRowHeight="15" x14ac:dyDescent="0.25"/>
  <cols>
    <col min="4" max="4" width="13.7109375" customWidth="1"/>
    <col min="5" max="5" width="12.28515625" style="2" customWidth="1"/>
    <col min="6" max="6" width="14.5703125" customWidth="1"/>
    <col min="7" max="7" width="13" customWidth="1"/>
    <col min="8" max="8" width="15.42578125" customWidth="1"/>
    <col min="9" max="9" width="14.7109375" style="7" customWidth="1"/>
  </cols>
  <sheetData>
    <row r="1" spans="2:9" ht="45" x14ac:dyDescent="0.25">
      <c r="B1" s="11"/>
      <c r="C1" s="16" t="s">
        <v>44</v>
      </c>
      <c r="D1" s="22" t="s">
        <v>45</v>
      </c>
      <c r="E1" s="24" t="s">
        <v>50</v>
      </c>
      <c r="F1" s="16" t="s">
        <v>46</v>
      </c>
      <c r="G1" s="16" t="s">
        <v>49</v>
      </c>
      <c r="H1" s="16" t="s">
        <v>47</v>
      </c>
      <c r="I1" s="29" t="s">
        <v>48</v>
      </c>
    </row>
    <row r="2" spans="2:9" x14ac:dyDescent="0.25">
      <c r="B2" s="11"/>
      <c r="C2" s="49">
        <v>50</v>
      </c>
      <c r="D2" s="49">
        <v>100</v>
      </c>
      <c r="E2" s="43">
        <f>C2*D2</f>
        <v>5000</v>
      </c>
      <c r="F2" s="49">
        <v>97</v>
      </c>
      <c r="G2" s="71">
        <f>(E2*((1-(F2)/100)))</f>
        <v>150.00000000000014</v>
      </c>
      <c r="H2" s="49">
        <v>33</v>
      </c>
      <c r="I2" s="68">
        <f>(G2*((1-(H2)/100)))</f>
        <v>100.50000000000009</v>
      </c>
    </row>
    <row r="3" spans="2:9" x14ac:dyDescent="0.25">
      <c r="B3" s="11"/>
      <c r="C3" s="39">
        <v>100</v>
      </c>
      <c r="D3" s="39">
        <v>100</v>
      </c>
      <c r="E3" s="42">
        <f>C3*D3</f>
        <v>10000</v>
      </c>
      <c r="F3" s="39">
        <v>97</v>
      </c>
      <c r="G3" s="72">
        <f>(E3*((1-(F3)/100)))</f>
        <v>300.00000000000028</v>
      </c>
      <c r="H3" s="39">
        <v>33</v>
      </c>
      <c r="I3" s="32">
        <f>(G3*((1-(H3)/100)))</f>
        <v>201.00000000000017</v>
      </c>
    </row>
    <row r="4" spans="2:9" x14ac:dyDescent="0.25">
      <c r="B4" s="11"/>
      <c r="G4" s="11"/>
      <c r="H4" s="11"/>
      <c r="I4" s="28"/>
    </row>
    <row r="5" spans="2:9" x14ac:dyDescent="0.25">
      <c r="B5" s="11"/>
      <c r="C5" s="69"/>
      <c r="D5" s="36" t="s">
        <v>68</v>
      </c>
      <c r="E5" s="37"/>
      <c r="G5" s="11"/>
      <c r="H5" s="11"/>
      <c r="I5" s="28"/>
    </row>
    <row r="6" spans="2:9" x14ac:dyDescent="0.25">
      <c r="B6" s="11"/>
      <c r="C6" s="70"/>
      <c r="D6" s="36" t="s">
        <v>69</v>
      </c>
      <c r="E6" s="37"/>
      <c r="G6" s="11"/>
      <c r="H6" s="11"/>
      <c r="I6" s="28"/>
    </row>
    <row r="7" spans="2:9" x14ac:dyDescent="0.25">
      <c r="B7" s="11"/>
      <c r="C7" s="67"/>
      <c r="D7" s="36" t="s">
        <v>70</v>
      </c>
      <c r="E7" s="37"/>
      <c r="G7" s="11"/>
      <c r="H7" s="11"/>
      <c r="I7" s="28"/>
    </row>
    <row r="8" spans="2:9" x14ac:dyDescent="0.25">
      <c r="B8" s="11"/>
      <c r="C8" s="36"/>
      <c r="D8" s="36"/>
      <c r="E8" s="37"/>
      <c r="G8" s="11"/>
      <c r="H8" s="11"/>
      <c r="I8" s="28"/>
    </row>
    <row r="9" spans="2:9" x14ac:dyDescent="0.25">
      <c r="B9" s="11"/>
      <c r="C9" s="44" t="s">
        <v>79</v>
      </c>
      <c r="D9" s="36"/>
      <c r="E9" s="37"/>
      <c r="G9" s="11"/>
      <c r="H9" s="11"/>
      <c r="I9" s="28"/>
    </row>
    <row r="10" spans="2:9" x14ac:dyDescent="0.25">
      <c r="B10" s="11"/>
      <c r="G10" s="11"/>
      <c r="H10" s="11"/>
      <c r="I10" s="28"/>
    </row>
    <row r="11" spans="2:9" x14ac:dyDescent="0.25">
      <c r="B11" s="11"/>
      <c r="C11" t="s">
        <v>74</v>
      </c>
    </row>
    <row r="12" spans="2:9" x14ac:dyDescent="0.25">
      <c r="B12" s="11"/>
      <c r="C12" s="11" t="s">
        <v>91</v>
      </c>
    </row>
    <row r="13" spans="2:9" ht="17.25" customHeight="1" x14ac:dyDescent="0.25">
      <c r="B13" s="11"/>
      <c r="D13" s="11" t="s">
        <v>41</v>
      </c>
      <c r="E13" s="11"/>
    </row>
    <row r="14" spans="2:9" x14ac:dyDescent="0.25">
      <c r="B14" s="11"/>
      <c r="D14" s="11"/>
      <c r="E14" s="11"/>
    </row>
    <row r="15" spans="2:9" ht="17.25" x14ac:dyDescent="0.25">
      <c r="B15" s="11"/>
      <c r="D15" s="11" t="s">
        <v>67</v>
      </c>
      <c r="E15" s="11"/>
    </row>
    <row r="16" spans="2:9" x14ac:dyDescent="0.25">
      <c r="C16" s="11"/>
      <c r="D16" s="11"/>
      <c r="E16" s="11" t="s">
        <v>21</v>
      </c>
      <c r="F16" s="11"/>
    </row>
    <row r="17" spans="3:8" x14ac:dyDescent="0.25">
      <c r="C17" s="11"/>
      <c r="D17" s="11"/>
      <c r="E17" s="11" t="s">
        <v>22</v>
      </c>
      <c r="F17" s="11"/>
    </row>
    <row r="18" spans="3:8" x14ac:dyDescent="0.25">
      <c r="C18" s="11"/>
      <c r="D18" s="11"/>
      <c r="E18" s="11" t="s">
        <v>42</v>
      </c>
      <c r="F18" s="11"/>
    </row>
    <row r="19" spans="3:8" x14ac:dyDescent="0.25">
      <c r="C19" s="11"/>
      <c r="D19" s="11"/>
      <c r="E19" s="27"/>
      <c r="F19" s="11"/>
    </row>
    <row r="20" spans="3:8" x14ac:dyDescent="0.25">
      <c r="E20" s="27"/>
      <c r="F20" s="11"/>
    </row>
    <row r="21" spans="3:8" x14ac:dyDescent="0.25">
      <c r="E21" s="27"/>
      <c r="F21" s="11"/>
      <c r="G21" s="11"/>
      <c r="H21" s="11"/>
    </row>
    <row r="22" spans="3:8" x14ac:dyDescent="0.25">
      <c r="E22" s="27"/>
      <c r="F22" s="11"/>
      <c r="G22" s="11"/>
      <c r="H22" s="11"/>
    </row>
    <row r="23" spans="3:8" x14ac:dyDescent="0.25">
      <c r="E23" s="27"/>
      <c r="F23" s="11"/>
      <c r="G23" s="11"/>
      <c r="H23" s="11"/>
    </row>
    <row r="24" spans="3:8" x14ac:dyDescent="0.25">
      <c r="E24" s="27"/>
      <c r="F24" s="11"/>
      <c r="G24" s="11"/>
      <c r="H24" s="11"/>
    </row>
    <row r="25" spans="3:8" x14ac:dyDescent="0.25">
      <c r="E25" s="27"/>
      <c r="F25" s="11"/>
      <c r="G25" s="11"/>
      <c r="H25" s="11"/>
    </row>
    <row r="26" spans="3:8" x14ac:dyDescent="0.25">
      <c r="E26" s="27"/>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workbookViewId="0">
      <selection activeCell="F3" sqref="F3"/>
    </sheetView>
  </sheetViews>
  <sheetFormatPr defaultRowHeight="15" x14ac:dyDescent="0.25"/>
  <cols>
    <col min="2" max="2" width="21.140625" customWidth="1"/>
    <col min="3" max="3" width="12.28515625" customWidth="1"/>
  </cols>
  <sheetData>
    <row r="1" spans="2:7" x14ac:dyDescent="0.25">
      <c r="B1" s="77" t="s">
        <v>19</v>
      </c>
      <c r="C1" s="78" t="s">
        <v>18</v>
      </c>
      <c r="D1" s="78"/>
      <c r="E1" s="78"/>
      <c r="F1" s="78"/>
      <c r="G1" s="78"/>
    </row>
    <row r="2" spans="2:7" x14ac:dyDescent="0.25">
      <c r="B2" s="77"/>
      <c r="C2" s="57">
        <v>100</v>
      </c>
      <c r="D2" s="57">
        <v>500</v>
      </c>
      <c r="E2" s="40">
        <v>1000</v>
      </c>
      <c r="F2" s="41">
        <v>2000</v>
      </c>
      <c r="G2" s="61">
        <v>4000</v>
      </c>
    </row>
    <row r="3" spans="2:7" ht="30" x14ac:dyDescent="0.25">
      <c r="B3" s="73" t="s">
        <v>17</v>
      </c>
      <c r="C3" s="59">
        <f>(C2*200)/1000</f>
        <v>20</v>
      </c>
      <c r="D3" s="59">
        <f t="shared" ref="D3:G3" si="0">(D2*200)/1000</f>
        <v>100</v>
      </c>
      <c r="E3" s="43">
        <f t="shared" si="0"/>
        <v>200</v>
      </c>
      <c r="F3" s="42">
        <f t="shared" si="0"/>
        <v>400</v>
      </c>
      <c r="G3" s="59">
        <f t="shared" si="0"/>
        <v>800</v>
      </c>
    </row>
    <row r="4" spans="2:7" ht="30" x14ac:dyDescent="0.25">
      <c r="B4" s="73" t="s">
        <v>20</v>
      </c>
      <c r="C4" s="59">
        <f>C3*0.35</f>
        <v>7</v>
      </c>
      <c r="D4" s="59">
        <f t="shared" ref="D4:G4" si="1">D3*0.35</f>
        <v>35</v>
      </c>
      <c r="E4" s="43">
        <f t="shared" si="1"/>
        <v>70</v>
      </c>
      <c r="F4" s="42">
        <f t="shared" si="1"/>
        <v>140</v>
      </c>
      <c r="G4" s="59">
        <f t="shared" si="1"/>
        <v>280</v>
      </c>
    </row>
    <row r="5" spans="2:7" ht="30" x14ac:dyDescent="0.25">
      <c r="B5" s="73" t="s">
        <v>75</v>
      </c>
      <c r="C5" s="60">
        <f>C4*0.835</f>
        <v>5.8449999999999998</v>
      </c>
      <c r="D5" s="60">
        <f t="shared" ref="D5:G5" si="2">D4*0.835</f>
        <v>29.224999999999998</v>
      </c>
      <c r="E5" s="74">
        <f t="shared" si="2"/>
        <v>58.449999999999996</v>
      </c>
      <c r="F5" s="31">
        <f t="shared" si="2"/>
        <v>116.89999999999999</v>
      </c>
      <c r="G5" s="60">
        <f t="shared" si="2"/>
        <v>233.79999999999998</v>
      </c>
    </row>
    <row r="7" spans="2:7" ht="18" customHeight="1" x14ac:dyDescent="0.25">
      <c r="B7" s="69"/>
      <c r="C7" s="36" t="s">
        <v>68</v>
      </c>
    </row>
    <row r="8" spans="2:7" ht="15" customHeight="1" x14ac:dyDescent="0.25">
      <c r="B8" s="70"/>
      <c r="C8" s="36" t="s">
        <v>69</v>
      </c>
    </row>
    <row r="9" spans="2:7" ht="15.75" customHeight="1" x14ac:dyDescent="0.25">
      <c r="B9" s="67"/>
      <c r="C9" s="36" t="s">
        <v>70</v>
      </c>
    </row>
    <row r="10" spans="2:7" x14ac:dyDescent="0.25">
      <c r="B10" s="36"/>
      <c r="C10" s="36"/>
    </row>
    <row r="11" spans="2:7" x14ac:dyDescent="0.25">
      <c r="B11" s="44" t="s">
        <v>78</v>
      </c>
      <c r="C11" s="36"/>
    </row>
    <row r="13" spans="2:7" x14ac:dyDescent="0.25">
      <c r="B13" t="s">
        <v>76</v>
      </c>
    </row>
    <row r="14" spans="2:7" ht="45" x14ac:dyDescent="0.25">
      <c r="B14" s="10" t="s">
        <v>77</v>
      </c>
    </row>
    <row r="15" spans="2:7" ht="60" x14ac:dyDescent="0.25">
      <c r="B15" s="10" t="s">
        <v>43</v>
      </c>
    </row>
  </sheetData>
  <mergeCells count="2">
    <mergeCell ref="B1:B2"/>
    <mergeCell ref="C1:G1"/>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P26"/>
  <sheetViews>
    <sheetView topLeftCell="B1" zoomScale="120" zoomScaleNormal="120" workbookViewId="0">
      <selection activeCell="E24" sqref="E24"/>
    </sheetView>
  </sheetViews>
  <sheetFormatPr defaultRowHeight="15" x14ac:dyDescent="0.25"/>
  <cols>
    <col min="2" max="2" width="20.28515625" customWidth="1"/>
    <col min="3" max="3" width="20.140625" style="13" customWidth="1"/>
    <col min="9" max="9" width="20.5703125" customWidth="1"/>
  </cols>
  <sheetData>
    <row r="10" spans="2:3" x14ac:dyDescent="0.25">
      <c r="B10" s="48"/>
      <c r="C10" s="75" t="s">
        <v>25</v>
      </c>
    </row>
    <row r="11" spans="2:3" x14ac:dyDescent="0.25">
      <c r="B11" s="48" t="s">
        <v>24</v>
      </c>
      <c r="C11" s="75">
        <f>'Assimilative capacity'!K2</f>
        <v>475.91073599999999</v>
      </c>
    </row>
    <row r="12" spans="2:3" x14ac:dyDescent="0.25">
      <c r="B12" s="48" t="s">
        <v>66</v>
      </c>
      <c r="C12" s="75">
        <f>'Load at Hwy 188'!I4</f>
        <v>261.09859072</v>
      </c>
    </row>
    <row r="13" spans="2:3" x14ac:dyDescent="0.25">
      <c r="B13" s="48" t="s">
        <v>26</v>
      </c>
      <c r="C13" s="75">
        <f>Cattle!I3</f>
        <v>201.00000000000017</v>
      </c>
    </row>
    <row r="14" spans="2:3" x14ac:dyDescent="0.25">
      <c r="B14" s="48" t="s">
        <v>27</v>
      </c>
      <c r="C14" s="75">
        <f>'Septic tank systems'!M3</f>
        <v>133.13737500000002</v>
      </c>
    </row>
    <row r="15" spans="2:3" x14ac:dyDescent="0.25">
      <c r="B15" s="48" t="s">
        <v>80</v>
      </c>
      <c r="C15" s="75">
        <f>Birds!F5</f>
        <v>116.89999999999999</v>
      </c>
    </row>
    <row r="16" spans="2:3" x14ac:dyDescent="0.25">
      <c r="B16" s="48" t="s">
        <v>81</v>
      </c>
      <c r="C16" s="75">
        <f>'BLB WWTP'!G3</f>
        <v>1.0598000000000001</v>
      </c>
    </row>
    <row r="17" spans="2:16" x14ac:dyDescent="0.25">
      <c r="B17" s="48" t="s">
        <v>82</v>
      </c>
      <c r="C17" s="75">
        <f>'Industrial WWTP'!F3</f>
        <v>2.9901499999999999</v>
      </c>
    </row>
    <row r="19" spans="2:16" x14ac:dyDescent="0.25">
      <c r="I19" s="48"/>
      <c r="J19" s="48" t="s">
        <v>64</v>
      </c>
      <c r="K19" s="48" t="s">
        <v>65</v>
      </c>
    </row>
    <row r="20" spans="2:16" x14ac:dyDescent="0.25">
      <c r="I20" s="48" t="s">
        <v>24</v>
      </c>
      <c r="J20" s="75">
        <f>C11</f>
        <v>475.91073599999999</v>
      </c>
      <c r="K20" s="48"/>
    </row>
    <row r="21" spans="2:16" x14ac:dyDescent="0.25">
      <c r="I21" s="48" t="s">
        <v>66</v>
      </c>
      <c r="J21" s="48"/>
      <c r="K21" s="75">
        <f t="shared" ref="K21:K26" si="0">C12</f>
        <v>261.09859072</v>
      </c>
    </row>
    <row r="22" spans="2:16" x14ac:dyDescent="0.25">
      <c r="I22" s="48" t="s">
        <v>26</v>
      </c>
      <c r="J22" s="48"/>
      <c r="K22" s="75">
        <f t="shared" si="0"/>
        <v>201.00000000000017</v>
      </c>
    </row>
    <row r="23" spans="2:16" x14ac:dyDescent="0.25">
      <c r="I23" s="48" t="s">
        <v>27</v>
      </c>
      <c r="J23" s="48"/>
      <c r="K23" s="75">
        <f t="shared" si="0"/>
        <v>133.13737500000002</v>
      </c>
      <c r="M23" s="13"/>
      <c r="N23" s="13"/>
      <c r="O23" s="13"/>
      <c r="P23" s="13"/>
    </row>
    <row r="24" spans="2:16" x14ac:dyDescent="0.25">
      <c r="I24" s="48" t="s">
        <v>80</v>
      </c>
      <c r="J24" s="48"/>
      <c r="K24" s="75">
        <f t="shared" si="0"/>
        <v>116.89999999999999</v>
      </c>
    </row>
    <row r="25" spans="2:16" x14ac:dyDescent="0.25">
      <c r="I25" s="48" t="s">
        <v>81</v>
      </c>
      <c r="J25" s="48"/>
      <c r="K25" s="75">
        <f t="shared" si="0"/>
        <v>1.0598000000000001</v>
      </c>
    </row>
    <row r="26" spans="2:16" x14ac:dyDescent="0.25">
      <c r="I26" s="48" t="s">
        <v>82</v>
      </c>
      <c r="J26" s="48"/>
      <c r="K26" s="75">
        <f t="shared" si="0"/>
        <v>2.9901499999999999</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User Manual - Read First</vt:lpstr>
      <vt:lpstr>Assimilative capacity</vt:lpstr>
      <vt:lpstr>Load at Hwy 188</vt:lpstr>
      <vt:lpstr>BLB WWTP</vt:lpstr>
      <vt:lpstr>Industrial WWTP</vt:lpstr>
      <vt:lpstr>Septic tank systems</vt:lpstr>
      <vt:lpstr>Cattle</vt:lpstr>
      <vt:lpstr>Birds</vt:lpstr>
      <vt:lpstr>Graphs</vt:lpstr>
      <vt:lpstr>LIterature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Tomasko</dc:creator>
  <cp:lastModifiedBy>Christian Miller</cp:lastModifiedBy>
  <dcterms:created xsi:type="dcterms:W3CDTF">2018-04-09T15:25:34Z</dcterms:created>
  <dcterms:modified xsi:type="dcterms:W3CDTF">2018-04-23T21:38:35Z</dcterms:modified>
</cp:coreProperties>
</file>